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TES" sheetId="1" r:id="rId1"/>
    <sheet name="Exercise - Ag HH Model" sheetId="2" r:id="rId2"/>
    <sheet name="Maize calculation" sheetId="3" r:id="rId3"/>
    <sheet name="Coffee calculation" sheetId="4" r:id="rId4"/>
  </sheets>
  <definedNames>
    <definedName name="Area_cf">'Exercise - Ag HH Model'!$D$4</definedName>
    <definedName name="Area_mz">'Exercise - Ag HH Model'!$C$4</definedName>
    <definedName name="Dalpha_mz" localSheetId="3">'Coffee calculation'!$D$17</definedName>
    <definedName name="Dalpha_mz">'Maize calculation'!$D$17</definedName>
    <definedName name="Dbeta_mz" localSheetId="3">'Coffee calculation'!$D$18</definedName>
    <definedName name="Dbeta_mz">'Maize calculation'!$D$18</definedName>
    <definedName name="Dgamma" localSheetId="3">'Coffee calculation'!$D$19</definedName>
    <definedName name="Dgamma">'Maize calculation'!$D$19</definedName>
    <definedName name="E_yc_pfert">'Exercise - Ag HH Model'!$D$18</definedName>
    <definedName name="E_ym_pfert">'Exercise - Ag HH Model'!$C$18</definedName>
    <definedName name="Edp_mz">'Exercise - Ag HH Model'!$C$16</definedName>
    <definedName name="Edy_mz">'Exercise - Ag HH Model'!$C$17</definedName>
    <definedName name="EPP_cf">'Exercise - Ag HH Model'!$G$43</definedName>
    <definedName name="EPP_cf_after">'Exercise - Ag HH Model'!$H$43</definedName>
    <definedName name="EPP_mz">'Exercise - Ag HH Model'!$C$43</definedName>
    <definedName name="EPP_mz_after">'Exercise - Ag HH Model'!$D$43</definedName>
    <definedName name="Es_cf">'Exercise - Ag HH Model'!$D$15</definedName>
    <definedName name="Es_cf_mz">'Coffee calculation'!$D$12</definedName>
    <definedName name="Es_mz">'Exercise - Ag HH Model'!$C$15</definedName>
    <definedName name="Es_mz_cf">'Maize calculation'!$D$12</definedName>
    <definedName name="ExchRate">'Exercise - Ag HH Model'!$E$14</definedName>
    <definedName name="FertMktCost">'Exercise - Ag HH Model'!$E$20</definedName>
    <definedName name="IPP_mz">'Exercise - Ag HH Model'!$C$42</definedName>
    <definedName name="IPP_mz_after">'Exercise - Ag HH Model'!$D$42</definedName>
    <definedName name="Mtax_mz">'Exercise - Ag HH Model'!#REF!</definedName>
    <definedName name="New_tariff">'Exercise - Ag HH Model'!$C$30</definedName>
    <definedName name="P" localSheetId="3">'Coffee calculation'!$D$28</definedName>
    <definedName name="P">'Maize calculation'!$D$28</definedName>
    <definedName name="P_cf_0">'Exercise - Ag HH Model'!$G$44</definedName>
    <definedName name="P_cf_1">'Exercise - Ag HH Model'!$H$44</definedName>
    <definedName name="P_cf_hh">'Exercise - Ag HH Model'!$D$9</definedName>
    <definedName name="P_cf_w">'Exercise - Ag HH Model'!$D$10</definedName>
    <definedName name="P_cf_w0_ksh">'Exercise - Ag HH Model'!$G$41</definedName>
    <definedName name="P_cf_w1_ksh">'Exercise - Ag HH Model'!$H$41</definedName>
    <definedName name="P_fert_w">'Exercise - Ag HH Model'!$E$19</definedName>
    <definedName name="P_mz_0">'Exercise - Ag HH Model'!$C$44</definedName>
    <definedName name="P_mz_1">'Exercise - Ag HH Model'!$D$44</definedName>
    <definedName name="P_mz_autarky0">'Exercise - Ag HH Model'!$C$40</definedName>
    <definedName name="P_mz_autarky1">'Exercise - Ag HH Model'!$D$40</definedName>
    <definedName name="P_mz_hh">'Exercise - Ag HH Model'!$C$9</definedName>
    <definedName name="P_mz_mkt">'Exercise - Ag HH Model'!$C$11</definedName>
    <definedName name="P_mz_w">'Exercise - Ag HH Model'!$C$10</definedName>
    <definedName name="P0">'Exercise - Ag HH Model'!$C$44</definedName>
    <definedName name="PctChExchRate">'Exercise - Ag HH Model'!$E$24</definedName>
    <definedName name="PctChFertMktCost">'Exercise - Ag HH Model'!$E$26</definedName>
    <definedName name="PctChIncome">'Exercise - Ag HH Model'!$E$23</definedName>
    <definedName name="PctChPFert">'Exercise - Ag HH Model'!$H$46</definedName>
    <definedName name="PctChSupply_cf">'Exercise - Ag HH Model'!$D$28</definedName>
    <definedName name="PctChSupply_mz">'Exercise - Ag HH Model'!$C$28</definedName>
    <definedName name="PctChTranspCost_cf">'Exercise - Ag HH Model'!$D$27</definedName>
    <definedName name="PctChTranspCost_mz">'Exercise - Ag HH Model'!$C$27</definedName>
    <definedName name="PctChWFertP">'Exercise - Ag HH Model'!$E$25</definedName>
    <definedName name="PctChWP_cf">'Exercise - Ag HH Model'!$D$29</definedName>
    <definedName name="PctChWP_mz">'Exercise - Ag HH Model'!$C$29</definedName>
    <definedName name="Purch_mz">'Exercise - Ag HH Model'!$C$8</definedName>
    <definedName name="Pw" localSheetId="3">'Exercise - Ag HH Model'!#REF!</definedName>
    <definedName name="Pw">'Exercise - Ag HH Model'!#REF!</definedName>
    <definedName name="Pw_0" localSheetId="3">'Exercise - Ag HH Model'!#REF!</definedName>
    <definedName name="Pw_0">'Exercise - Ag HH Model'!#REF!</definedName>
    <definedName name="Qd_mz">'Exercise - Ag HH Model'!$C$7</definedName>
    <definedName name="Qd0_cf">'Exercise - Ag HH Model'!$G$36</definedName>
    <definedName name="Qd0_mz">'Exercise - Ag HH Model'!$C$36</definedName>
    <definedName name="Qd1_cf">'Exercise - Ag HH Model'!$H$36</definedName>
    <definedName name="Qd1_mz">'Exercise - Ag HH Model'!$D$36</definedName>
    <definedName name="Qs_cf">'Exercise - Ag HH Model'!$D$6</definedName>
    <definedName name="Qs_mz">'Exercise - Ag HH Model'!$C$6</definedName>
    <definedName name="Qs0_cf">'Exercise - Ag HH Model'!$G$35</definedName>
    <definedName name="Qs0_mz">'Exercise - Ag HH Model'!$C$35</definedName>
    <definedName name="Qs1_cf">'Exercise - Ag HH Model'!$H$35</definedName>
    <definedName name="Qs1_mz">'Exercise - Ag HH Model'!$D$35</definedName>
    <definedName name="SAalpha_cf" localSheetId="3">'Coffee calculation'!$D$10</definedName>
    <definedName name="SAalpha_mz">'Maize calculation'!$D$10</definedName>
    <definedName name="Sbeta_cf" localSheetId="3">'Coffee calculation'!$D$11</definedName>
    <definedName name="Sbeta_cf_mz">'Coffee calculation'!$D$12</definedName>
    <definedName name="Sbeta_mz">'Maize calculation'!$D$11</definedName>
    <definedName name="Sbeta_mz_cf">'Maize calculation'!$D$12</definedName>
    <definedName name="Transpcost_cf">'Exercise - Ag HH Model'!$D$13</definedName>
    <definedName name="Transpcost_mz">'Exercise - Ag HH Model'!$C$13</definedName>
    <definedName name="Xtax_cf">'Exercise - Ag HH Model'!$D$12</definedName>
    <definedName name="Xtax_cf_new">'Exercise - Ag HH Model'!$D$30</definedName>
    <definedName name="Xtax_mz">'Exercise - Ag HH Model'!$C$12</definedName>
    <definedName name="Y" localSheetId="3">'Coffee calculation'!$D$16</definedName>
    <definedName name="Y">'Maize calculation'!$D$16</definedName>
    <definedName name="Yield_cf">'Exercise - Ag HH Model'!$D$5</definedName>
    <definedName name="Yield_cf1">'Exercise - Ag HH Model'!$H$34</definedName>
    <definedName name="Yield_mz">'Exercise - Ag HH Model'!$C$5</definedName>
    <definedName name="Yield_mz1">'Exercise - Ag HH Model'!$D$34</definedName>
  </definedNames>
  <calcPr fullCalcOnLoad="1"/>
</workbook>
</file>

<file path=xl/sharedStrings.xml><?xml version="1.0" encoding="utf-8"?>
<sst xmlns="http://schemas.openxmlformats.org/spreadsheetml/2006/main" count="160" uniqueCount="105">
  <si>
    <t>Supply elasticity</t>
  </si>
  <si>
    <t>Price elasticity of demand</t>
  </si>
  <si>
    <t>Supply intercept (α)</t>
  </si>
  <si>
    <t>Q</t>
  </si>
  <si>
    <t>Income elasticity of demand</t>
  </si>
  <si>
    <t>Supply</t>
  </si>
  <si>
    <t xml:space="preserve">Demand </t>
  </si>
  <si>
    <t>Before</t>
  </si>
  <si>
    <t>After</t>
  </si>
  <si>
    <t>Pct increase in income</t>
  </si>
  <si>
    <t>Demand intercept (α)</t>
  </si>
  <si>
    <t>Demand price coefficient (β)</t>
  </si>
  <si>
    <t>Demand income coefficient (φ)</t>
  </si>
  <si>
    <t>ln(Q) = α + β*ln(P) + φ*ln(Y)</t>
  </si>
  <si>
    <t>Supply curve</t>
  </si>
  <si>
    <t>Demand curve</t>
  </si>
  <si>
    <t>Initial conditions</t>
  </si>
  <si>
    <t xml:space="preserve">Results </t>
  </si>
  <si>
    <t>New tariff rate</t>
  </si>
  <si>
    <t>Data for constructing graph of demand and supply curves</t>
  </si>
  <si>
    <t>Q Interval</t>
  </si>
  <si>
    <t>Income (US$/person/year)</t>
  </si>
  <si>
    <t xml:space="preserve">Note: This worksheet shows the calculations to generate graphs and tables.  </t>
  </si>
  <si>
    <t xml:space="preserve">         For calibration and simulation, change only the numbers in the green and blue boxes</t>
  </si>
  <si>
    <t xml:space="preserve">Import </t>
  </si>
  <si>
    <t>Export</t>
  </si>
  <si>
    <t>parity</t>
  </si>
  <si>
    <t xml:space="preserve">Household model with two commodities </t>
  </si>
  <si>
    <t>Maize</t>
  </si>
  <si>
    <t xml:space="preserve">Coffee </t>
  </si>
  <si>
    <t>Calculation of supply and demand function coefficients for maize</t>
  </si>
  <si>
    <t>Purchases (kg)</t>
  </si>
  <si>
    <t>Consumption (kg)</t>
  </si>
  <si>
    <t>Production (kg)</t>
  </si>
  <si>
    <t>Sales (kg)</t>
  </si>
  <si>
    <t>Area (ha)</t>
  </si>
  <si>
    <t>Yield (t/ha)</t>
  </si>
  <si>
    <t>Household price (Ksh/kg)</t>
  </si>
  <si>
    <t>Local market price (KSh/kg)</t>
  </si>
  <si>
    <t>World price (US$/t)</t>
  </si>
  <si>
    <t>Export tax rate (%)</t>
  </si>
  <si>
    <t>Exchange rate (KSh/US$)</t>
  </si>
  <si>
    <t>Transport costs (KSh/kg)</t>
  </si>
  <si>
    <t>Note: N.D. means "Not defined" because initial value is zero.</t>
  </si>
  <si>
    <t xml:space="preserve">          N.A. means "Not applicable"</t>
  </si>
  <si>
    <t xml:space="preserve">N.A. </t>
  </si>
  <si>
    <t>Autarky price (KSh/kg)</t>
  </si>
  <si>
    <t>Import parity price (KSh/kg)</t>
  </si>
  <si>
    <t>Export parity price (KSh/kg)</t>
  </si>
  <si>
    <t>Household price (KSh/kg)</t>
  </si>
  <si>
    <t>Marketed share (%)</t>
  </si>
  <si>
    <t>Calculation of supply and demand function coefficients for coffee</t>
  </si>
  <si>
    <t>NA</t>
  </si>
  <si>
    <t xml:space="preserve">World </t>
  </si>
  <si>
    <t>price</t>
  </si>
  <si>
    <t>World</t>
  </si>
  <si>
    <t>Pct increase in marketing cost</t>
  </si>
  <si>
    <t>World price (KSh/kg)</t>
  </si>
  <si>
    <t xml:space="preserve">ln(Am) = α + βm*ln(Pm) + βc*ln(Pc) </t>
  </si>
  <si>
    <t>ln(Ym) = Ym0</t>
  </si>
  <si>
    <t>ln(Yc) = Yc0</t>
  </si>
  <si>
    <t xml:space="preserve">ln(Ac) = α + βc*ln(Pc) + βm*ln(Pm) </t>
  </si>
  <si>
    <t>% change</t>
  </si>
  <si>
    <t>Coffee</t>
  </si>
  <si>
    <t>Area intercept (α)</t>
  </si>
  <si>
    <t>Area own-price coefficient (βmm)</t>
  </si>
  <si>
    <r>
      <t>Area cross-price coefficient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(βmc)</t>
    </r>
  </si>
  <si>
    <t>Area own-price coefficient (βcc)</t>
  </si>
  <si>
    <r>
      <t>Area cross-price coefficient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(βcm)</t>
    </r>
  </si>
  <si>
    <t>Yield (kg/ha)</t>
  </si>
  <si>
    <t xml:space="preserve">Overall marketed share </t>
  </si>
  <si>
    <t>Pct increase in exch rate</t>
  </si>
  <si>
    <t xml:space="preserve">Change to simulate </t>
  </si>
  <si>
    <t>Overall</t>
  </si>
  <si>
    <t>Elast of yield wrt fert price</t>
  </si>
  <si>
    <t>Fertilizer price, CIF (US$/t)</t>
  </si>
  <si>
    <t>Fertilizer mkting cost (KSh/kg)</t>
  </si>
  <si>
    <t>Pct increase in world fert price</t>
  </si>
  <si>
    <t>Pct increase in fert mkt costs</t>
  </si>
  <si>
    <t>Fertilizer price (KSh/kg)</t>
  </si>
  <si>
    <t>Sales (Ksh)</t>
  </si>
  <si>
    <t>Pct increase in market price</t>
  </si>
  <si>
    <t xml:space="preserve">Pct increase in productivity </t>
  </si>
  <si>
    <t>The exercises in this workbook correspond to the Powerpoint presentation entitled:</t>
  </si>
  <si>
    <t>Data Sheets</t>
  </si>
  <si>
    <t>Worksheet Color Scheme</t>
  </si>
  <si>
    <t>Yellow = User alterable cells.</t>
  </si>
  <si>
    <t>Green = Results cells</t>
  </si>
  <si>
    <t>[Maize calculation]</t>
  </si>
  <si>
    <t>[Coffee calculation]</t>
  </si>
  <si>
    <t>Contains base data used in the coffee portion of the Exercise sheet</t>
  </si>
  <si>
    <t>Contains base data used in the maize portion Exercise worksheet</t>
  </si>
  <si>
    <t>* Note: Do not alter the data in these worksheets</t>
  </si>
  <si>
    <t>Exercise Sheet</t>
  </si>
  <si>
    <t>[Exercise - Ag HH Model]</t>
  </si>
  <si>
    <t>An agricultural household model for two crops: Maize and Coffee</t>
  </si>
  <si>
    <t>Change blue and yellow cells and observe changes in the figures.</t>
  </si>
  <si>
    <t>Follow the exercises outlined in the PowerPoint presentation</t>
  </si>
  <si>
    <t>They are linked to graphs and tables which display the results of the model</t>
  </si>
  <si>
    <t>Blue = User alterable cells</t>
  </si>
  <si>
    <t>These cells are meant to be altered by the user</t>
  </si>
  <si>
    <t xml:space="preserve">These cells change depending upon the values in the yellow and blue cells, </t>
  </si>
  <si>
    <t>Do not alter the green cells manually</t>
  </si>
  <si>
    <t xml:space="preserve">Note: Use blue boxes for calibration.  Use yellow boxes for simulations. </t>
  </si>
  <si>
    <t>"AAMP Module 2.2 - Modeling Smallholder Commercialization" of the AAMP Training Materials.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</si>
</sst>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0.000000"/>
    <numFmt numFmtId="174" formatCode="0.0000000"/>
    <numFmt numFmtId="175" formatCode="[$-409]dddd\,\ mmmm\ dd\,\ yyyy"/>
    <numFmt numFmtId="176" formatCode="[$-409]h:mm:ss\ AM/PM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43" fontId="0" fillId="0" borderId="11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15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67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171" fontId="0" fillId="0" borderId="11" xfId="0" applyNumberFormat="1" applyBorder="1" applyAlignment="1">
      <alignment/>
    </xf>
    <xf numFmtId="165" fontId="0" fillId="0" borderId="15" xfId="42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9" fontId="0" fillId="33" borderId="0" xfId="59" applyFont="1" applyFill="1" applyAlignment="1">
      <alignment/>
    </xf>
    <xf numFmtId="0" fontId="3" fillId="0" borderId="11" xfId="0" applyFont="1" applyBorder="1" applyAlignment="1">
      <alignment/>
    </xf>
    <xf numFmtId="165" fontId="3" fillId="0" borderId="11" xfId="42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0" fillId="34" borderId="0" xfId="42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42" applyNumberFormat="1" applyFont="1" applyFill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9" fontId="0" fillId="0" borderId="0" xfId="59" applyFont="1" applyFill="1" applyAlignment="1">
      <alignment/>
    </xf>
    <xf numFmtId="4" fontId="0" fillId="0" borderId="0" xfId="42" applyNumberFormat="1" applyFont="1" applyFill="1" applyAlignment="1">
      <alignment/>
    </xf>
    <xf numFmtId="1" fontId="0" fillId="0" borderId="0" xfId="42" applyNumberFormat="1" applyFont="1" applyBorder="1" applyAlignment="1">
      <alignment horizontal="right"/>
    </xf>
    <xf numFmtId="3" fontId="0" fillId="0" borderId="0" xfId="42" applyNumberFormat="1" applyFont="1" applyFill="1" applyAlignment="1">
      <alignment/>
    </xf>
    <xf numFmtId="9" fontId="0" fillId="0" borderId="0" xfId="59" applyFont="1" applyFill="1" applyBorder="1" applyAlignment="1">
      <alignment/>
    </xf>
    <xf numFmtId="165" fontId="0" fillId="0" borderId="0" xfId="42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3" fillId="0" borderId="0" xfId="0" applyFont="1" applyFill="1" applyBorder="1" applyAlignment="1">
      <alignment/>
    </xf>
    <xf numFmtId="9" fontId="53" fillId="0" borderId="0" xfId="59" applyFont="1" applyFill="1" applyBorder="1" applyAlignment="1">
      <alignment/>
    </xf>
    <xf numFmtId="0" fontId="0" fillId="34" borderId="0" xfId="0" applyFill="1" applyAlignment="1">
      <alignment/>
    </xf>
    <xf numFmtId="9" fontId="0" fillId="35" borderId="0" xfId="59" applyFont="1" applyFill="1" applyAlignment="1">
      <alignment/>
    </xf>
    <xf numFmtId="4" fontId="0" fillId="34" borderId="0" xfId="42" applyNumberFormat="1" applyFont="1" applyFill="1" applyAlignment="1">
      <alignment/>
    </xf>
    <xf numFmtId="9" fontId="0" fillId="34" borderId="0" xfId="59" applyFont="1" applyFill="1" applyAlignment="1">
      <alignment horizontal="right"/>
    </xf>
    <xf numFmtId="3" fontId="0" fillId="34" borderId="0" xfId="42" applyNumberFormat="1" applyFont="1" applyFill="1" applyAlignment="1">
      <alignment/>
    </xf>
    <xf numFmtId="9" fontId="0" fillId="34" borderId="0" xfId="59" applyFont="1" applyFill="1" applyAlignment="1">
      <alignment/>
    </xf>
    <xf numFmtId="3" fontId="0" fillId="34" borderId="0" xfId="42" applyNumberFormat="1" applyFont="1" applyFill="1" applyAlignment="1">
      <alignment horizontal="right"/>
    </xf>
    <xf numFmtId="9" fontId="0" fillId="34" borderId="0" xfId="59" applyFont="1" applyFill="1" applyAlignment="1">
      <alignment horizontal="right"/>
    </xf>
    <xf numFmtId="3" fontId="0" fillId="34" borderId="11" xfId="42" applyNumberFormat="1" applyFont="1" applyFill="1" applyBorder="1" applyAlignment="1">
      <alignment/>
    </xf>
    <xf numFmtId="9" fontId="0" fillId="34" borderId="11" xfId="59" applyFont="1" applyFill="1" applyBorder="1" applyAlignment="1">
      <alignment horizontal="right"/>
    </xf>
    <xf numFmtId="3" fontId="0" fillId="34" borderId="0" xfId="42" applyNumberFormat="1" applyFont="1" applyFill="1" applyBorder="1" applyAlignment="1">
      <alignment/>
    </xf>
    <xf numFmtId="9" fontId="0" fillId="34" borderId="19" xfId="59" applyFont="1" applyFill="1" applyBorder="1" applyAlignment="1">
      <alignment horizontal="right"/>
    </xf>
    <xf numFmtId="9" fontId="0" fillId="34" borderId="0" xfId="59" applyFont="1" applyFill="1" applyBorder="1" applyAlignment="1">
      <alignment horizontal="right"/>
    </xf>
    <xf numFmtId="3" fontId="0" fillId="34" borderId="19" xfId="42" applyNumberFormat="1" applyFont="1" applyFill="1" applyBorder="1" applyAlignment="1">
      <alignment horizontal="right"/>
    </xf>
    <xf numFmtId="3" fontId="0" fillId="34" borderId="19" xfId="42" applyNumberFormat="1" applyFont="1" applyFill="1" applyBorder="1" applyAlignment="1">
      <alignment/>
    </xf>
    <xf numFmtId="164" fontId="0" fillId="34" borderId="0" xfId="42" applyNumberFormat="1" applyFont="1" applyFill="1" applyBorder="1" applyAlignment="1">
      <alignment horizontal="right"/>
    </xf>
    <xf numFmtId="164" fontId="0" fillId="34" borderId="0" xfId="59" applyNumberFormat="1" applyFont="1" applyFill="1" applyBorder="1" applyAlignment="1">
      <alignment horizontal="right"/>
    </xf>
    <xf numFmtId="9" fontId="0" fillId="34" borderId="0" xfId="59" applyFont="1" applyFill="1" applyBorder="1" applyAlignment="1">
      <alignment/>
    </xf>
    <xf numFmtId="165" fontId="0" fillId="34" borderId="0" xfId="42" applyNumberFormat="1" applyFont="1" applyFill="1" applyBorder="1" applyAlignment="1">
      <alignment horizontal="right"/>
    </xf>
    <xf numFmtId="3" fontId="0" fillId="34" borderId="0" xfId="42" applyNumberFormat="1" applyFont="1" applyFill="1" applyBorder="1" applyAlignment="1">
      <alignment horizontal="right"/>
    </xf>
    <xf numFmtId="9" fontId="0" fillId="35" borderId="11" xfId="59" applyFont="1" applyFill="1" applyBorder="1" applyAlignment="1">
      <alignment/>
    </xf>
    <xf numFmtId="3" fontId="0" fillId="33" borderId="0" xfId="42" applyNumberFormat="1" applyFont="1" applyFill="1" applyAlignment="1">
      <alignment/>
    </xf>
    <xf numFmtId="3" fontId="0" fillId="33" borderId="11" xfId="42" applyNumberFormat="1" applyFont="1" applyFill="1" applyBorder="1" applyAlignment="1">
      <alignment/>
    </xf>
    <xf numFmtId="4" fontId="0" fillId="33" borderId="0" xfId="42" applyNumberFormat="1" applyFont="1" applyFill="1" applyAlignment="1">
      <alignment/>
    </xf>
    <xf numFmtId="3" fontId="0" fillId="33" borderId="0" xfId="42" applyNumberFormat="1" applyFont="1" applyFill="1" applyAlignment="1">
      <alignment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15" xfId="0" applyFont="1" applyBorder="1" applyAlignment="1">
      <alignment/>
    </xf>
    <xf numFmtId="0" fontId="54" fillId="36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15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53" applyFont="1" applyAlignment="1" applyProtection="1">
      <alignment/>
      <protection/>
    </xf>
    <xf numFmtId="0" fontId="54" fillId="0" borderId="0" xfId="0" applyFont="1" applyBorder="1" applyAlignment="1">
      <alignment/>
    </xf>
    <xf numFmtId="0" fontId="0" fillId="35" borderId="15" xfId="0" applyFont="1" applyFill="1" applyBorder="1" applyAlignment="1">
      <alignment/>
    </xf>
    <xf numFmtId="0" fontId="54" fillId="34" borderId="15" xfId="0" applyFont="1" applyFill="1" applyBorder="1" applyAlignment="1">
      <alignment/>
    </xf>
    <xf numFmtId="0" fontId="57" fillId="36" borderId="0" xfId="0" applyFont="1" applyFill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MAIZE MARKET </a:t>
            </a:r>
          </a:p>
        </c:rich>
      </c:tx>
      <c:layout>
        <c:manualLayout>
          <c:xMode val="factor"/>
          <c:yMode val="factor"/>
          <c:x val="-0.088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55"/>
          <c:w val="0.6867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v>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calculation'!$I$9:$I$108</c:f>
              <c:numCache>
                <c:ptCount val="100"/>
                <c:pt idx="9">
                  <c:v>1.2800000000000002</c:v>
                </c:pt>
                <c:pt idx="10">
                  <c:v>1.5488000000000028</c:v>
                </c:pt>
                <c:pt idx="11">
                  <c:v>1.8432000000000013</c:v>
                </c:pt>
                <c:pt idx="12">
                  <c:v>2.1632000000000016</c:v>
                </c:pt>
                <c:pt idx="13">
                  <c:v>2.5088000000000004</c:v>
                </c:pt>
                <c:pt idx="14">
                  <c:v>2.8800000000000017</c:v>
                </c:pt>
                <c:pt idx="15">
                  <c:v>3.2768000000000015</c:v>
                </c:pt>
                <c:pt idx="16">
                  <c:v>3.6992000000000065</c:v>
                </c:pt>
                <c:pt idx="17">
                  <c:v>4.147200000000005</c:v>
                </c:pt>
                <c:pt idx="18">
                  <c:v>4.620800000000005</c:v>
                </c:pt>
                <c:pt idx="19">
                  <c:v>5.120000000000002</c:v>
                </c:pt>
                <c:pt idx="20">
                  <c:v>5.644800000000004</c:v>
                </c:pt>
                <c:pt idx="21">
                  <c:v>6.195200000000001</c:v>
                </c:pt>
                <c:pt idx="22">
                  <c:v>6.77120000000001</c:v>
                </c:pt>
                <c:pt idx="23">
                  <c:v>7.372800000000007</c:v>
                </c:pt>
                <c:pt idx="24">
                  <c:v>8.000000000000002</c:v>
                </c:pt>
                <c:pt idx="25">
                  <c:v>8.652800000000006</c:v>
                </c:pt>
                <c:pt idx="26">
                  <c:v>9.331200000000015</c:v>
                </c:pt>
                <c:pt idx="27">
                  <c:v>10.035199999999985</c:v>
                </c:pt>
                <c:pt idx="28">
                  <c:v>10.764800000000028</c:v>
                </c:pt>
                <c:pt idx="29">
                  <c:v>11.519999999999989</c:v>
                </c:pt>
                <c:pt idx="30">
                  <c:v>12.300799999999997</c:v>
                </c:pt>
                <c:pt idx="31">
                  <c:v>13.107199999999985</c:v>
                </c:pt>
                <c:pt idx="32">
                  <c:v>13.939200000000008</c:v>
                </c:pt>
                <c:pt idx="33">
                  <c:v>14.796800000000001</c:v>
                </c:pt>
                <c:pt idx="34">
                  <c:v>15.680000000000005</c:v>
                </c:pt>
                <c:pt idx="35">
                  <c:v>16.588799999999992</c:v>
                </c:pt>
                <c:pt idx="36">
                  <c:v>17.523200000000006</c:v>
                </c:pt>
                <c:pt idx="37">
                  <c:v>18.483200000000025</c:v>
                </c:pt>
                <c:pt idx="38">
                  <c:v>19.46880000000006</c:v>
                </c:pt>
                <c:pt idx="39">
                  <c:v>20.48000000000001</c:v>
                </c:pt>
                <c:pt idx="40">
                  <c:v>21.5168</c:v>
                </c:pt>
                <c:pt idx="41">
                  <c:v>22.579200000000018</c:v>
                </c:pt>
                <c:pt idx="42">
                  <c:v>23.667200000000012</c:v>
                </c:pt>
                <c:pt idx="43">
                  <c:v>24.780799999999964</c:v>
                </c:pt>
                <c:pt idx="44">
                  <c:v>25.920000000000034</c:v>
                </c:pt>
                <c:pt idx="45">
                  <c:v>27.084800000000044</c:v>
                </c:pt>
                <c:pt idx="46">
                  <c:v>28.275200000000083</c:v>
                </c:pt>
                <c:pt idx="47">
                  <c:v>29.49120000000003</c:v>
                </c:pt>
                <c:pt idx="48">
                  <c:v>30.732800000000065</c:v>
                </c:pt>
                <c:pt idx="49">
                  <c:v>32.00000000000007</c:v>
                </c:pt>
                <c:pt idx="50">
                  <c:v>33.29280000000008</c:v>
                </c:pt>
                <c:pt idx="51">
                  <c:v>34.61120000000003</c:v>
                </c:pt>
                <c:pt idx="52">
                  <c:v>35.95519999999997</c:v>
                </c:pt>
                <c:pt idx="53">
                  <c:v>37.32480000000007</c:v>
                </c:pt>
                <c:pt idx="54">
                  <c:v>38.72000000000001</c:v>
                </c:pt>
                <c:pt idx="55">
                  <c:v>40.14080000000009</c:v>
                </c:pt>
                <c:pt idx="56">
                  <c:v>41.587199999999996</c:v>
                </c:pt>
                <c:pt idx="57">
                  <c:v>43.05919999999997</c:v>
                </c:pt>
                <c:pt idx="58">
                  <c:v>44.55680000000001</c:v>
                </c:pt>
                <c:pt idx="59">
                  <c:v>46.080000000000126</c:v>
                </c:pt>
                <c:pt idx="60">
                  <c:v>47.6288</c:v>
                </c:pt>
                <c:pt idx="61">
                  <c:v>49.20320000000017</c:v>
                </c:pt>
                <c:pt idx="62">
                  <c:v>50.80320000000015</c:v>
                </c:pt>
                <c:pt idx="63">
                  <c:v>52.42880000000014</c:v>
                </c:pt>
                <c:pt idx="64">
                  <c:v>54.079999999999956</c:v>
                </c:pt>
                <c:pt idx="65">
                  <c:v>55.75680000000004</c:v>
                </c:pt>
                <c:pt idx="66">
                  <c:v>57.459199999999946</c:v>
                </c:pt>
                <c:pt idx="67">
                  <c:v>59.18720000000002</c:v>
                </c:pt>
                <c:pt idx="68">
                  <c:v>60.940800000000024</c:v>
                </c:pt>
                <c:pt idx="69">
                  <c:v>62.72000000000003</c:v>
                </c:pt>
                <c:pt idx="70">
                  <c:v>64.52479999999998</c:v>
                </c:pt>
                <c:pt idx="71">
                  <c:v>66.35520000000022</c:v>
                </c:pt>
                <c:pt idx="72">
                  <c:v>68.21120000000008</c:v>
                </c:pt>
                <c:pt idx="73">
                  <c:v>70.09280000000004</c:v>
                </c:pt>
                <c:pt idx="74">
                  <c:v>72.00000000000007</c:v>
                </c:pt>
                <c:pt idx="75">
                  <c:v>73.93280000000011</c:v>
                </c:pt>
                <c:pt idx="76">
                  <c:v>75.89120000000015</c:v>
                </c:pt>
                <c:pt idx="77">
                  <c:v>77.87519999999998</c:v>
                </c:pt>
                <c:pt idx="78">
                  <c:v>79.88480000000027</c:v>
                </c:pt>
                <c:pt idx="79">
                  <c:v>81.92000000000006</c:v>
                </c:pt>
                <c:pt idx="80">
                  <c:v>83.98080000000004</c:v>
                </c:pt>
                <c:pt idx="81">
                  <c:v>86.06720000000001</c:v>
                </c:pt>
                <c:pt idx="82">
                  <c:v>88.17919999999988</c:v>
                </c:pt>
                <c:pt idx="83">
                  <c:v>90.31680000000009</c:v>
                </c:pt>
                <c:pt idx="84">
                  <c:v>92.47999999999985</c:v>
                </c:pt>
                <c:pt idx="85">
                  <c:v>94.66880000000008</c:v>
                </c:pt>
                <c:pt idx="86">
                  <c:v>96.88320000000014</c:v>
                </c:pt>
                <c:pt idx="87">
                  <c:v>99.12320000000022</c:v>
                </c:pt>
                <c:pt idx="88">
                  <c:v>101.38880000000012</c:v>
                </c:pt>
                <c:pt idx="89">
                  <c:v>103.68000000000015</c:v>
                </c:pt>
                <c:pt idx="90">
                  <c:v>105.99680000000009</c:v>
                </c:pt>
                <c:pt idx="91">
                  <c:v>108.3392000000002</c:v>
                </c:pt>
                <c:pt idx="92">
                  <c:v>110.70720000000024</c:v>
                </c:pt>
                <c:pt idx="93">
                  <c:v>113.10079999999995</c:v>
                </c:pt>
                <c:pt idx="94">
                  <c:v>115.52000000000037</c:v>
                </c:pt>
                <c:pt idx="95">
                  <c:v>117.96480000000015</c:v>
                </c:pt>
                <c:pt idx="96">
                  <c:v>120.43520000000018</c:v>
                </c:pt>
                <c:pt idx="97">
                  <c:v>122.93119999999985</c:v>
                </c:pt>
                <c:pt idx="98">
                  <c:v>125.45280000000038</c:v>
                </c:pt>
              </c:numCache>
            </c:numRef>
          </c:yVal>
          <c:smooth val="1"/>
        </c:ser>
        <c:ser>
          <c:idx val="1"/>
          <c:order val="1"/>
          <c:tx>
            <c:v>Demand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calculation'!$J$9:$J$108</c:f>
              <c:numCache>
                <c:ptCount val="100"/>
                <c:pt idx="9">
                  <c:v>6839.903786706802</c:v>
                </c:pt>
                <c:pt idx="10">
                  <c:v>4978.223327903258</c:v>
                </c:pt>
                <c:pt idx="11">
                  <c:v>3724.881885052584</c:v>
                </c:pt>
                <c:pt idx="12">
                  <c:v>2852.586472810141</c:v>
                </c:pt>
                <c:pt idx="13">
                  <c:v>2228.212162776095</c:v>
                </c:pt>
                <c:pt idx="14">
                  <c:v>1770.4315048127073</c:v>
                </c:pt>
                <c:pt idx="15">
                  <c:v>1427.7430362367525</c:v>
                </c:pt>
                <c:pt idx="16">
                  <c:v>1166.5058510752528</c:v>
                </c:pt>
                <c:pt idx="17">
                  <c:v>964.1434216983871</c:v>
                </c:pt>
                <c:pt idx="18">
                  <c:v>805.139851047361</c:v>
                </c:pt>
                <c:pt idx="19">
                  <c:v>678.6044041487274</c:v>
                </c:pt>
                <c:pt idx="20">
                  <c:v>576.7474419819296</c:v>
                </c:pt>
                <c:pt idx="21">
                  <c:v>493.90230922789226</c:v>
                </c:pt>
                <c:pt idx="22">
                  <c:v>425.883230177177</c:v>
                </c:pt>
                <c:pt idx="23">
                  <c:v>369.55508892436006</c:v>
                </c:pt>
                <c:pt idx="24">
                  <c:v>322.53978877308793</c:v>
                </c:pt>
                <c:pt idx="25">
                  <c:v>283.01242298556707</c:v>
                </c:pt>
                <c:pt idx="26">
                  <c:v>249.55758767399158</c:v>
                </c:pt>
                <c:pt idx="27">
                  <c:v>221.06664569994436</c:v>
                </c:pt>
                <c:pt idx="28">
                  <c:v>196.66330488332778</c:v>
                </c:pt>
                <c:pt idx="29">
                  <c:v>175.64905207358336</c:v>
                </c:pt>
                <c:pt idx="30">
                  <c:v>157.46269492787852</c:v>
                </c:pt>
                <c:pt idx="31">
                  <c:v>141.6500498539056</c:v>
                </c:pt>
                <c:pt idx="32">
                  <c:v>127.84101002359492</c:v>
                </c:pt>
                <c:pt idx="33">
                  <c:v>115.73203844524508</c:v>
                </c:pt>
                <c:pt idx="34">
                  <c:v>105.07268855450566</c:v>
                </c:pt>
                <c:pt idx="35">
                  <c:v>95.65514261576486</c:v>
                </c:pt>
                <c:pt idx="36">
                  <c:v>87.30603111644042</c:v>
                </c:pt>
                <c:pt idx="37">
                  <c:v>79.87999040838127</c:v>
                </c:pt>
                <c:pt idx="38">
                  <c:v>73.25455525863035</c:v>
                </c:pt>
                <c:pt idx="39">
                  <c:v>67.32608406349638</c:v>
                </c:pt>
                <c:pt idx="40">
                  <c:v>62.00648844320561</c:v>
                </c:pt>
                <c:pt idx="41">
                  <c:v>57.2205935076302</c:v>
                </c:pt>
                <c:pt idx="42">
                  <c:v>52.903995672945584</c:v>
                </c:pt>
                <c:pt idx="43">
                  <c:v>49.00131532736742</c:v>
                </c:pt>
                <c:pt idx="44">
                  <c:v>45.464764604720344</c:v>
                </c:pt>
                <c:pt idx="45">
                  <c:v>42.2529679749291</c:v>
                </c:pt>
                <c:pt idx="46">
                  <c:v>39.329986709725304</c:v>
                </c:pt>
                <c:pt idx="47">
                  <c:v>36.66450855742065</c:v>
                </c:pt>
                <c:pt idx="48">
                  <c:v>34.229171917264296</c:v>
                </c:pt>
                <c:pt idx="49">
                  <c:v>32.000000000000014</c:v>
                </c:pt>
                <c:pt idx="50">
                  <c:v>29.955925312555937</c:v>
                </c:pt>
                <c:pt idx="51">
                  <c:v>28.078388622959864</c:v>
                </c:pt>
                <c:pt idx="52">
                  <c:v>26.350999581591996</c:v>
                </c:pt>
                <c:pt idx="53">
                  <c:v>24.759248575021264</c:v>
                </c:pt>
                <c:pt idx="54">
                  <c:v>23.290261304918772</c:v>
                </c:pt>
                <c:pt idx="55">
                  <c:v>21.932589121198287</c:v>
                </c:pt>
                <c:pt idx="56">
                  <c:v>20.676029376025106</c:v>
                </c:pt>
                <c:pt idx="57">
                  <c:v>19.51147106595856</c:v>
                </c:pt>
                <c:pt idx="58">
                  <c:v>18.430761841778107</c:v>
                </c:pt>
                <c:pt idx="59">
                  <c:v>17.426593127426447</c:v>
                </c:pt>
                <c:pt idx="60">
                  <c:v>16.49240063080356</c:v>
                </c:pt>
                <c:pt idx="61">
                  <c:v>15.62227797339137</c:v>
                </c:pt>
                <c:pt idx="62">
                  <c:v>14.810901531520706</c:v>
                </c:pt>
                <c:pt idx="63">
                  <c:v>14.053464884339856</c:v>
                </c:pt>
                <c:pt idx="64">
                  <c:v>13.34562151405267</c:v>
                </c:pt>
                <c:pt idx="65">
                  <c:v>12.683434612258232</c:v>
                </c:pt>
                <c:pt idx="66">
                  <c:v>12.063333019881114</c:v>
                </c:pt>
                <c:pt idx="67">
                  <c:v>11.482072473400379</c:v>
                </c:pt>
                <c:pt idx="68">
                  <c:v>10.936701451859731</c:v>
                </c:pt>
                <c:pt idx="69">
                  <c:v>10.424531021534321</c:v>
                </c:pt>
                <c:pt idx="70">
                  <c:v>9.943108161449336</c:v>
                </c:pt>
                <c:pt idx="71">
                  <c:v>9.49019212590208</c:v>
                </c:pt>
                <c:pt idx="72">
                  <c:v>9.063733461951603</c:v>
                </c:pt>
                <c:pt idx="73">
                  <c:v>8.661855352337861</c:v>
                </c:pt>
                <c:pt idx="74">
                  <c:v>8.282836998981203</c:v>
                </c:pt>
                <c:pt idx="75">
                  <c:v>7.925098800342129</c:v>
                </c:pt>
                <c:pt idx="76">
                  <c:v>7.587189108523939</c:v>
                </c:pt>
                <c:pt idx="77">
                  <c:v>7.267772379938273</c:v>
                </c:pt>
                <c:pt idx="78">
                  <c:v>6.965618557343478</c:v>
                </c:pt>
                <c:pt idx="79">
                  <c:v>6.679593541705848</c:v>
                </c:pt>
                <c:pt idx="80">
                  <c:v>6.408650630129975</c:v>
                </c:pt>
                <c:pt idx="81">
                  <c:v>6.1518228114749105</c:v>
                </c:pt>
                <c:pt idx="82">
                  <c:v>5.908215824574873</c:v>
                </c:pt>
                <c:pt idx="83">
                  <c:v>5.677001895516054</c:v>
                </c:pt>
                <c:pt idx="84">
                  <c:v>5.4574140804370295</c:v>
                </c:pt>
                <c:pt idx="85">
                  <c:v>5.248741149034678</c:v>
                </c:pt>
                <c:pt idx="86">
                  <c:v>5.050322951552272</c:v>
                </c:pt>
                <c:pt idx="87">
                  <c:v>4.861546218655529</c:v>
                </c:pt>
                <c:pt idx="88">
                  <c:v>4.6818407493992975</c:v>
                </c:pt>
                <c:pt idx="89">
                  <c:v>4.510675947563726</c:v>
                </c:pt>
                <c:pt idx="90">
                  <c:v>4.3475576710905575</c:v>
                </c:pt>
                <c:pt idx="91">
                  <c:v>4.192025363261329</c:v>
                </c:pt>
                <c:pt idx="92">
                  <c:v>4.043649437699232</c:v>
                </c:pt>
                <c:pt idx="93">
                  <c:v>3.9020288923070763</c:v>
                </c:pt>
                <c:pt idx="94">
                  <c:v>3.7667891299272767</c:v>
                </c:pt>
                <c:pt idx="95">
                  <c:v>3.6375799658716605</c:v>
                </c:pt>
                <c:pt idx="96">
                  <c:v>3.514073804558132</c:v>
                </c:pt>
                <c:pt idx="97">
                  <c:v>3.3959639693416044</c:v>
                </c:pt>
                <c:pt idx="98">
                  <c:v>3.2829631712678498</c:v>
                </c:pt>
              </c:numCache>
            </c:numRef>
          </c:yVal>
          <c:smooth val="1"/>
        </c:ser>
        <c:ser>
          <c:idx val="6"/>
          <c:order val="2"/>
          <c:tx>
            <c:v>Import parity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calculation'!$K$9:$K$108</c:f>
              <c:numCache>
                <c:ptCount val="10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36</c:v>
                </c:pt>
                <c:pt idx="56">
                  <c:v>36</c:v>
                </c:pt>
                <c:pt idx="57">
                  <c:v>36</c:v>
                </c:pt>
                <c:pt idx="58">
                  <c:v>36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36</c:v>
                </c:pt>
                <c:pt idx="67">
                  <c:v>36</c:v>
                </c:pt>
                <c:pt idx="68">
                  <c:v>36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36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</c:numCache>
            </c:numRef>
          </c:yVal>
          <c:smooth val="1"/>
        </c:ser>
        <c:ser>
          <c:idx val="8"/>
          <c:order val="3"/>
          <c:tx>
            <c:v>Export parity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calculation'!$L$9:$L$108</c:f>
              <c:numCach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</c:numCache>
            </c:numRef>
          </c:yVal>
          <c:smooth val="1"/>
        </c:ser>
        <c:ser>
          <c:idx val="2"/>
          <c:order val="4"/>
          <c:tx>
            <c:v>Shadow price for household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calculation'!#REF!</c:f>
            </c:numRef>
          </c:yVal>
          <c:smooth val="1"/>
        </c:ser>
        <c:ser>
          <c:idx val="3"/>
          <c:order val="5"/>
          <c:tx>
            <c:v>Supply (after)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calculation'!$N$9:$N$108</c:f>
              <c:numCache>
                <c:ptCount val="100"/>
                <c:pt idx="9">
                  <c:v>1.2800000000000002</c:v>
                </c:pt>
                <c:pt idx="10">
                  <c:v>1.5488000000000028</c:v>
                </c:pt>
                <c:pt idx="11">
                  <c:v>1.8432000000000013</c:v>
                </c:pt>
                <c:pt idx="12">
                  <c:v>2.1632000000000016</c:v>
                </c:pt>
                <c:pt idx="13">
                  <c:v>2.5088000000000004</c:v>
                </c:pt>
                <c:pt idx="14">
                  <c:v>2.8800000000000017</c:v>
                </c:pt>
                <c:pt idx="15">
                  <c:v>3.2768000000000015</c:v>
                </c:pt>
                <c:pt idx="16">
                  <c:v>3.6992000000000065</c:v>
                </c:pt>
                <c:pt idx="17">
                  <c:v>4.147200000000005</c:v>
                </c:pt>
                <c:pt idx="18">
                  <c:v>4.620800000000005</c:v>
                </c:pt>
                <c:pt idx="19">
                  <c:v>5.120000000000002</c:v>
                </c:pt>
                <c:pt idx="20">
                  <c:v>5.644800000000004</c:v>
                </c:pt>
                <c:pt idx="21">
                  <c:v>6.195200000000001</c:v>
                </c:pt>
                <c:pt idx="22">
                  <c:v>6.77120000000001</c:v>
                </c:pt>
                <c:pt idx="23">
                  <c:v>7.372800000000007</c:v>
                </c:pt>
                <c:pt idx="24">
                  <c:v>8.000000000000002</c:v>
                </c:pt>
                <c:pt idx="25">
                  <c:v>8.652800000000006</c:v>
                </c:pt>
                <c:pt idx="26">
                  <c:v>9.331200000000015</c:v>
                </c:pt>
                <c:pt idx="27">
                  <c:v>10.035199999999985</c:v>
                </c:pt>
                <c:pt idx="28">
                  <c:v>10.764800000000028</c:v>
                </c:pt>
                <c:pt idx="29">
                  <c:v>11.519999999999989</c:v>
                </c:pt>
                <c:pt idx="30">
                  <c:v>12.300799999999997</c:v>
                </c:pt>
                <c:pt idx="31">
                  <c:v>13.107199999999985</c:v>
                </c:pt>
                <c:pt idx="32">
                  <c:v>13.939200000000008</c:v>
                </c:pt>
                <c:pt idx="33">
                  <c:v>14.796800000000001</c:v>
                </c:pt>
                <c:pt idx="34">
                  <c:v>15.680000000000005</c:v>
                </c:pt>
                <c:pt idx="35">
                  <c:v>16.588799999999992</c:v>
                </c:pt>
                <c:pt idx="36">
                  <c:v>17.523200000000006</c:v>
                </c:pt>
                <c:pt idx="37">
                  <c:v>18.483200000000025</c:v>
                </c:pt>
                <c:pt idx="38">
                  <c:v>19.46880000000006</c:v>
                </c:pt>
                <c:pt idx="39">
                  <c:v>20.48000000000001</c:v>
                </c:pt>
                <c:pt idx="40">
                  <c:v>21.5168</c:v>
                </c:pt>
                <c:pt idx="41">
                  <c:v>22.579200000000018</c:v>
                </c:pt>
                <c:pt idx="42">
                  <c:v>23.667200000000012</c:v>
                </c:pt>
                <c:pt idx="43">
                  <c:v>24.780799999999964</c:v>
                </c:pt>
                <c:pt idx="44">
                  <c:v>25.920000000000034</c:v>
                </c:pt>
                <c:pt idx="45">
                  <c:v>27.084800000000044</c:v>
                </c:pt>
                <c:pt idx="46">
                  <c:v>28.275200000000083</c:v>
                </c:pt>
                <c:pt idx="47">
                  <c:v>29.49120000000003</c:v>
                </c:pt>
                <c:pt idx="48">
                  <c:v>30.732800000000065</c:v>
                </c:pt>
                <c:pt idx="49">
                  <c:v>32.00000000000007</c:v>
                </c:pt>
                <c:pt idx="50">
                  <c:v>33.29280000000008</c:v>
                </c:pt>
                <c:pt idx="51">
                  <c:v>34.61120000000003</c:v>
                </c:pt>
                <c:pt idx="52">
                  <c:v>35.95519999999997</c:v>
                </c:pt>
                <c:pt idx="53">
                  <c:v>37.32480000000007</c:v>
                </c:pt>
                <c:pt idx="54">
                  <c:v>38.72000000000001</c:v>
                </c:pt>
                <c:pt idx="55">
                  <c:v>40.14080000000009</c:v>
                </c:pt>
                <c:pt idx="56">
                  <c:v>41.587199999999996</c:v>
                </c:pt>
                <c:pt idx="57">
                  <c:v>43.05919999999997</c:v>
                </c:pt>
                <c:pt idx="58">
                  <c:v>44.55680000000001</c:v>
                </c:pt>
                <c:pt idx="59">
                  <c:v>46.080000000000126</c:v>
                </c:pt>
                <c:pt idx="60">
                  <c:v>47.6288</c:v>
                </c:pt>
                <c:pt idx="61">
                  <c:v>49.20320000000017</c:v>
                </c:pt>
                <c:pt idx="62">
                  <c:v>50.80320000000015</c:v>
                </c:pt>
                <c:pt idx="63">
                  <c:v>52.42880000000014</c:v>
                </c:pt>
                <c:pt idx="64">
                  <c:v>54.079999999999956</c:v>
                </c:pt>
                <c:pt idx="65">
                  <c:v>55.75680000000004</c:v>
                </c:pt>
                <c:pt idx="66">
                  <c:v>57.459199999999946</c:v>
                </c:pt>
                <c:pt idx="67">
                  <c:v>59.18720000000002</c:v>
                </c:pt>
                <c:pt idx="68">
                  <c:v>60.940800000000024</c:v>
                </c:pt>
                <c:pt idx="69">
                  <c:v>62.72000000000003</c:v>
                </c:pt>
                <c:pt idx="70">
                  <c:v>64.52479999999998</c:v>
                </c:pt>
                <c:pt idx="71">
                  <c:v>66.35520000000022</c:v>
                </c:pt>
                <c:pt idx="72">
                  <c:v>68.21120000000008</c:v>
                </c:pt>
                <c:pt idx="73">
                  <c:v>70.09280000000004</c:v>
                </c:pt>
                <c:pt idx="74">
                  <c:v>72.00000000000007</c:v>
                </c:pt>
                <c:pt idx="75">
                  <c:v>73.93280000000011</c:v>
                </c:pt>
                <c:pt idx="76">
                  <c:v>75.89120000000015</c:v>
                </c:pt>
                <c:pt idx="77">
                  <c:v>77.87519999999998</c:v>
                </c:pt>
                <c:pt idx="78">
                  <c:v>79.88480000000027</c:v>
                </c:pt>
                <c:pt idx="79">
                  <c:v>81.92000000000006</c:v>
                </c:pt>
                <c:pt idx="80">
                  <c:v>83.98080000000004</c:v>
                </c:pt>
                <c:pt idx="81">
                  <c:v>86.06720000000001</c:v>
                </c:pt>
                <c:pt idx="82">
                  <c:v>88.17919999999988</c:v>
                </c:pt>
                <c:pt idx="83">
                  <c:v>90.31680000000009</c:v>
                </c:pt>
                <c:pt idx="84">
                  <c:v>92.47999999999985</c:v>
                </c:pt>
                <c:pt idx="85">
                  <c:v>94.66880000000008</c:v>
                </c:pt>
                <c:pt idx="86">
                  <c:v>96.88320000000014</c:v>
                </c:pt>
                <c:pt idx="87">
                  <c:v>99.12320000000022</c:v>
                </c:pt>
                <c:pt idx="88">
                  <c:v>101.38880000000012</c:v>
                </c:pt>
                <c:pt idx="89">
                  <c:v>103.68000000000015</c:v>
                </c:pt>
                <c:pt idx="90">
                  <c:v>105.99680000000009</c:v>
                </c:pt>
                <c:pt idx="91">
                  <c:v>108.3392000000002</c:v>
                </c:pt>
                <c:pt idx="92">
                  <c:v>110.70720000000024</c:v>
                </c:pt>
                <c:pt idx="93">
                  <c:v>113.10079999999995</c:v>
                </c:pt>
                <c:pt idx="94">
                  <c:v>115.52000000000037</c:v>
                </c:pt>
                <c:pt idx="95">
                  <c:v>117.96480000000015</c:v>
                </c:pt>
                <c:pt idx="96">
                  <c:v>120.43520000000018</c:v>
                </c:pt>
                <c:pt idx="97">
                  <c:v>122.93119999999985</c:v>
                </c:pt>
                <c:pt idx="98">
                  <c:v>125.45280000000038</c:v>
                </c:pt>
              </c:numCache>
            </c:numRef>
          </c:yVal>
          <c:smooth val="1"/>
        </c:ser>
        <c:ser>
          <c:idx val="4"/>
          <c:order val="6"/>
          <c:tx>
            <c:v>Demand (after)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calculation'!$O$9:$O$108</c:f>
              <c:numCache>
                <c:ptCount val="100"/>
                <c:pt idx="9">
                  <c:v>6839.903786706802</c:v>
                </c:pt>
                <c:pt idx="10">
                  <c:v>4978.223327903258</c:v>
                </c:pt>
                <c:pt idx="11">
                  <c:v>3724.881885052584</c:v>
                </c:pt>
                <c:pt idx="12">
                  <c:v>2852.586472810141</c:v>
                </c:pt>
                <c:pt idx="13">
                  <c:v>2228.212162776095</c:v>
                </c:pt>
                <c:pt idx="14">
                  <c:v>1770.4315048127073</c:v>
                </c:pt>
                <c:pt idx="15">
                  <c:v>1427.7430362367525</c:v>
                </c:pt>
                <c:pt idx="16">
                  <c:v>1166.5058510752528</c:v>
                </c:pt>
                <c:pt idx="17">
                  <c:v>964.1434216983871</c:v>
                </c:pt>
                <c:pt idx="18">
                  <c:v>805.139851047361</c:v>
                </c:pt>
                <c:pt idx="19">
                  <c:v>678.6044041487274</c:v>
                </c:pt>
                <c:pt idx="20">
                  <c:v>576.7474419819296</c:v>
                </c:pt>
                <c:pt idx="21">
                  <c:v>493.90230922789226</c:v>
                </c:pt>
                <c:pt idx="22">
                  <c:v>425.883230177177</c:v>
                </c:pt>
                <c:pt idx="23">
                  <c:v>369.55508892436006</c:v>
                </c:pt>
                <c:pt idx="24">
                  <c:v>322.53978877308793</c:v>
                </c:pt>
                <c:pt idx="25">
                  <c:v>283.01242298556707</c:v>
                </c:pt>
                <c:pt idx="26">
                  <c:v>249.55758767399158</c:v>
                </c:pt>
                <c:pt idx="27">
                  <c:v>221.06664569994436</c:v>
                </c:pt>
                <c:pt idx="28">
                  <c:v>196.66330488332778</c:v>
                </c:pt>
                <c:pt idx="29">
                  <c:v>175.64905207358336</c:v>
                </c:pt>
                <c:pt idx="30">
                  <c:v>157.46269492787852</c:v>
                </c:pt>
                <c:pt idx="31">
                  <c:v>141.6500498539056</c:v>
                </c:pt>
                <c:pt idx="32">
                  <c:v>127.84101002359492</c:v>
                </c:pt>
                <c:pt idx="33">
                  <c:v>115.73203844524508</c:v>
                </c:pt>
                <c:pt idx="34">
                  <c:v>105.07268855450566</c:v>
                </c:pt>
                <c:pt idx="35">
                  <c:v>95.65514261576486</c:v>
                </c:pt>
                <c:pt idx="36">
                  <c:v>87.30603111644042</c:v>
                </c:pt>
                <c:pt idx="37">
                  <c:v>79.87999040838127</c:v>
                </c:pt>
                <c:pt idx="38">
                  <c:v>73.25455525863035</c:v>
                </c:pt>
                <c:pt idx="39">
                  <c:v>67.32608406349638</c:v>
                </c:pt>
                <c:pt idx="40">
                  <c:v>62.00648844320561</c:v>
                </c:pt>
                <c:pt idx="41">
                  <c:v>57.2205935076302</c:v>
                </c:pt>
                <c:pt idx="42">
                  <c:v>52.903995672945584</c:v>
                </c:pt>
                <c:pt idx="43">
                  <c:v>49.00131532736742</c:v>
                </c:pt>
                <c:pt idx="44">
                  <c:v>45.464764604720344</c:v>
                </c:pt>
                <c:pt idx="45">
                  <c:v>42.2529679749291</c:v>
                </c:pt>
                <c:pt idx="46">
                  <c:v>39.329986709725304</c:v>
                </c:pt>
                <c:pt idx="47">
                  <c:v>36.66450855742065</c:v>
                </c:pt>
                <c:pt idx="48">
                  <c:v>34.229171917264296</c:v>
                </c:pt>
                <c:pt idx="49">
                  <c:v>32.000000000000014</c:v>
                </c:pt>
                <c:pt idx="50">
                  <c:v>29.955925312555937</c:v>
                </c:pt>
                <c:pt idx="51">
                  <c:v>28.078388622959864</c:v>
                </c:pt>
                <c:pt idx="52">
                  <c:v>26.350999581591996</c:v>
                </c:pt>
                <c:pt idx="53">
                  <c:v>24.759248575021264</c:v>
                </c:pt>
                <c:pt idx="54">
                  <c:v>23.290261304918772</c:v>
                </c:pt>
                <c:pt idx="55">
                  <c:v>21.932589121198287</c:v>
                </c:pt>
                <c:pt idx="56">
                  <c:v>20.676029376025106</c:v>
                </c:pt>
                <c:pt idx="57">
                  <c:v>19.51147106595856</c:v>
                </c:pt>
                <c:pt idx="58">
                  <c:v>18.430761841778107</c:v>
                </c:pt>
                <c:pt idx="59">
                  <c:v>17.426593127426447</c:v>
                </c:pt>
                <c:pt idx="60">
                  <c:v>16.49240063080356</c:v>
                </c:pt>
                <c:pt idx="61">
                  <c:v>15.62227797339137</c:v>
                </c:pt>
                <c:pt idx="62">
                  <c:v>14.810901531520706</c:v>
                </c:pt>
                <c:pt idx="63">
                  <c:v>14.053464884339856</c:v>
                </c:pt>
                <c:pt idx="64">
                  <c:v>13.34562151405267</c:v>
                </c:pt>
                <c:pt idx="65">
                  <c:v>12.683434612258232</c:v>
                </c:pt>
                <c:pt idx="66">
                  <c:v>12.063333019881114</c:v>
                </c:pt>
                <c:pt idx="67">
                  <c:v>11.482072473400379</c:v>
                </c:pt>
                <c:pt idx="68">
                  <c:v>10.936701451859731</c:v>
                </c:pt>
                <c:pt idx="69">
                  <c:v>10.424531021534321</c:v>
                </c:pt>
                <c:pt idx="70">
                  <c:v>9.943108161449336</c:v>
                </c:pt>
                <c:pt idx="71">
                  <c:v>9.49019212590208</c:v>
                </c:pt>
                <c:pt idx="72">
                  <c:v>9.063733461951603</c:v>
                </c:pt>
                <c:pt idx="73">
                  <c:v>8.661855352337861</c:v>
                </c:pt>
                <c:pt idx="74">
                  <c:v>8.282836998981203</c:v>
                </c:pt>
                <c:pt idx="75">
                  <c:v>7.925098800342129</c:v>
                </c:pt>
                <c:pt idx="76">
                  <c:v>7.587189108523939</c:v>
                </c:pt>
                <c:pt idx="77">
                  <c:v>7.267772379938273</c:v>
                </c:pt>
                <c:pt idx="78">
                  <c:v>6.965618557343478</c:v>
                </c:pt>
                <c:pt idx="79">
                  <c:v>6.679593541705848</c:v>
                </c:pt>
                <c:pt idx="80">
                  <c:v>6.408650630129975</c:v>
                </c:pt>
                <c:pt idx="81">
                  <c:v>6.1518228114749105</c:v>
                </c:pt>
                <c:pt idx="82">
                  <c:v>5.908215824574873</c:v>
                </c:pt>
                <c:pt idx="83">
                  <c:v>5.677001895516054</c:v>
                </c:pt>
                <c:pt idx="84">
                  <c:v>5.4574140804370295</c:v>
                </c:pt>
                <c:pt idx="85">
                  <c:v>5.248741149034678</c:v>
                </c:pt>
                <c:pt idx="86">
                  <c:v>5.050322951552272</c:v>
                </c:pt>
                <c:pt idx="87">
                  <c:v>4.861546218655529</c:v>
                </c:pt>
                <c:pt idx="88">
                  <c:v>4.6818407493992975</c:v>
                </c:pt>
                <c:pt idx="89">
                  <c:v>4.510675947563726</c:v>
                </c:pt>
                <c:pt idx="90">
                  <c:v>4.3475576710905575</c:v>
                </c:pt>
                <c:pt idx="91">
                  <c:v>4.192025363261329</c:v>
                </c:pt>
                <c:pt idx="92">
                  <c:v>4.043649437699232</c:v>
                </c:pt>
                <c:pt idx="93">
                  <c:v>3.9020288923070763</c:v>
                </c:pt>
                <c:pt idx="94">
                  <c:v>3.7667891299272767</c:v>
                </c:pt>
                <c:pt idx="95">
                  <c:v>3.6375799658716605</c:v>
                </c:pt>
                <c:pt idx="96">
                  <c:v>3.514073804558132</c:v>
                </c:pt>
                <c:pt idx="97">
                  <c:v>3.3959639693416044</c:v>
                </c:pt>
                <c:pt idx="98">
                  <c:v>3.2829631712678498</c:v>
                </c:pt>
              </c:numCache>
            </c:numRef>
          </c:yVal>
          <c:smooth val="1"/>
        </c:ser>
        <c:ser>
          <c:idx val="7"/>
          <c:order val="7"/>
          <c:tx>
            <c:v>Import parity price (after)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calculation'!$P$9:$P$108</c:f>
              <c:numCache>
                <c:ptCount val="10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4">
                  <c:v>36</c:v>
                </c:pt>
                <c:pt idx="45">
                  <c:v>36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36</c:v>
                </c:pt>
                <c:pt idx="51">
                  <c:v>36</c:v>
                </c:pt>
                <c:pt idx="52">
                  <c:v>36</c:v>
                </c:pt>
                <c:pt idx="53">
                  <c:v>36</c:v>
                </c:pt>
                <c:pt idx="54">
                  <c:v>36</c:v>
                </c:pt>
                <c:pt idx="55">
                  <c:v>36</c:v>
                </c:pt>
                <c:pt idx="56">
                  <c:v>36</c:v>
                </c:pt>
                <c:pt idx="57">
                  <c:v>36</c:v>
                </c:pt>
                <c:pt idx="58">
                  <c:v>36</c:v>
                </c:pt>
                <c:pt idx="59">
                  <c:v>36</c:v>
                </c:pt>
                <c:pt idx="60">
                  <c:v>36</c:v>
                </c:pt>
                <c:pt idx="61">
                  <c:v>36</c:v>
                </c:pt>
                <c:pt idx="62">
                  <c:v>36</c:v>
                </c:pt>
                <c:pt idx="63">
                  <c:v>36</c:v>
                </c:pt>
                <c:pt idx="64">
                  <c:v>36</c:v>
                </c:pt>
                <c:pt idx="65">
                  <c:v>36</c:v>
                </c:pt>
                <c:pt idx="66">
                  <c:v>36</c:v>
                </c:pt>
                <c:pt idx="67">
                  <c:v>36</c:v>
                </c:pt>
                <c:pt idx="68">
                  <c:v>36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36</c:v>
                </c:pt>
                <c:pt idx="80">
                  <c:v>36</c:v>
                </c:pt>
                <c:pt idx="81">
                  <c:v>36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36</c:v>
                </c:pt>
                <c:pt idx="86">
                  <c:v>36</c:v>
                </c:pt>
                <c:pt idx="87">
                  <c:v>36</c:v>
                </c:pt>
                <c:pt idx="88">
                  <c:v>36</c:v>
                </c:pt>
                <c:pt idx="89">
                  <c:v>36</c:v>
                </c:pt>
                <c:pt idx="90">
                  <c:v>36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36</c:v>
                </c:pt>
                <c:pt idx="97">
                  <c:v>36</c:v>
                </c:pt>
                <c:pt idx="98">
                  <c:v>36</c:v>
                </c:pt>
              </c:numCache>
            </c:numRef>
          </c:yVal>
          <c:smooth val="1"/>
        </c:ser>
        <c:ser>
          <c:idx val="9"/>
          <c:order val="8"/>
          <c:tx>
            <c:v>Export parity price (after)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calculation'!$Q$9:$Q$108</c:f>
              <c:numCache>
                <c:ptCount val="100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</c:numCache>
            </c:numRef>
          </c:yVal>
          <c:smooth val="1"/>
        </c:ser>
        <c:ser>
          <c:idx val="5"/>
          <c:order val="9"/>
          <c:tx>
            <c:v>Domestic price (after)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'Maize calculation'!$H$9:$H$108</c:f>
              <c:numCach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</c:numCache>
            </c:numRef>
          </c:xVal>
          <c:yVal>
            <c:numRef>
              <c:f>'Maize calculation'!#REF!</c:f>
            </c:numRef>
          </c:yVal>
          <c:smooth val="1"/>
        </c:ser>
        <c:axId val="66474393"/>
        <c:axId val="61398626"/>
      </c:scatterChart>
      <c:valAx>
        <c:axId val="6647439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(kg)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626"/>
        <c:crosses val="autoZero"/>
        <c:crossBetween val="midCat"/>
        <c:dispUnits/>
      </c:valAx>
      <c:valAx>
        <c:axId val="613986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(Kh/kg) 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4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14325"/>
          <c:w val="0.24875"/>
          <c:h val="0.417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COFFEE 
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</a:t>
            </a:r>
          </a:p>
        </c:rich>
      </c:tx>
      <c:layout>
        <c:manualLayout>
          <c:xMode val="factor"/>
          <c:yMode val="factor"/>
          <c:x val="-0.091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075"/>
          <c:w val="0.712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v>Supply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calculation'!$H$9:$H$108</c:f>
              <c:numCache>
                <c:ptCount val="100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calculation'!$I$9:$I$108</c:f>
              <c:numCache>
                <c:ptCount val="100"/>
                <c:pt idx="3">
                  <c:v>41.07459564932186</c:v>
                </c:pt>
                <c:pt idx="4">
                  <c:v>54.288871371292124</c:v>
                </c:pt>
                <c:pt idx="5">
                  <c:v>68.18476854615892</c:v>
                </c:pt>
                <c:pt idx="6">
                  <c:v>82.674363051297</c:v>
                </c:pt>
                <c:pt idx="7">
                  <c:v>97.69240278406669</c:v>
                </c:pt>
                <c:pt idx="8">
                  <c:v>113.18827582347801</c:v>
                </c:pt>
                <c:pt idx="9">
                  <c:v>129.12142420041621</c:v>
                </c:pt>
                <c:pt idx="10">
                  <c:v>145.4585198854985</c:v>
                </c:pt>
                <c:pt idx="11">
                  <c:v>162.17162377981182</c:v>
                </c:pt>
                <c:pt idx="12">
                  <c:v>179.23693057354856</c:v>
                </c:pt>
                <c:pt idx="13">
                  <c:v>196.633881537841</c:v>
                </c:pt>
                <c:pt idx="14">
                  <c:v>214.34451841283465</c:v>
                </c:pt>
                <c:pt idx="15">
                  <c:v>232.35300094504763</c:v>
                </c:pt>
                <c:pt idx="16">
                  <c:v>250.6452388561803</c:v>
                </c:pt>
                <c:pt idx="17">
                  <c:v>269.2086058883412</c:v>
                </c:pt>
                <c:pt idx="18">
                  <c:v>288.031714028843</c:v>
                </c:pt>
                <c:pt idx="19">
                  <c:v>307.10423271683914</c:v>
                </c:pt>
                <c:pt idx="20">
                  <c:v>326.416742247635</c:v>
                </c:pt>
                <c:pt idx="21">
                  <c:v>345.9606135711994</c:v>
                </c:pt>
                <c:pt idx="22">
                  <c:v>365.727908738913</c:v>
                </c:pt>
                <c:pt idx="23">
                  <c:v>385.7112977009936</c:v>
                </c:pt>
                <c:pt idx="24">
                  <c:v>405.90398819468675</c:v>
                </c:pt>
                <c:pt idx="25">
                  <c:v>426.29966621862525</c:v>
                </c:pt>
                <c:pt idx="26">
                  <c:v>446.8924451465347</c:v>
                </c:pt>
                <c:pt idx="27">
                  <c:v>467.6768219508053</c:v>
                </c:pt>
                <c:pt idx="28">
                  <c:v>488.647639322546</c:v>
                </c:pt>
                <c:pt idx="29">
                  <c:v>509.80005271674924</c:v>
                </c:pt>
                <c:pt idx="30">
                  <c:v>531.129501538473</c:v>
                </c:pt>
                <c:pt idx="31">
                  <c:v>552.6316838321691</c:v>
                </c:pt>
                <c:pt idx="32">
                  <c:v>574.3025339515137</c:v>
                </c:pt>
                <c:pt idx="33">
                  <c:v>596.138202778652</c:v>
                </c:pt>
                <c:pt idx="34">
                  <c:v>618.1350401349877</c:v>
                </c:pt>
                <c:pt idx="35">
                  <c:v>640.2895790847573</c:v>
                </c:pt>
                <c:pt idx="36">
                  <c:v>662.5985218805431</c:v>
                </c:pt>
                <c:pt idx="37">
                  <c:v>685.0587273390588</c:v>
                </c:pt>
                <c:pt idx="38">
                  <c:v>707.6671994676531</c:v>
                </c:pt>
                <c:pt idx="39">
                  <c:v>730.4210771886328</c:v>
                </c:pt>
                <c:pt idx="40">
                  <c:v>753.3176250305215</c:v>
                </c:pt>
                <c:pt idx="41">
                  <c:v>776.3542246737934</c:v>
                </c:pt>
                <c:pt idx="42">
                  <c:v>799.5283672541221</c:v>
                </c:pt>
                <c:pt idx="43">
                  <c:v>822.8376463391543</c:v>
                </c:pt>
                <c:pt idx="44">
                  <c:v>846.2797515058451</c:v>
                </c:pt>
                <c:pt idx="45">
                  <c:v>869.8524624547621</c:v>
                </c:pt>
                <c:pt idx="46">
                  <c:v>893.5536436057132</c:v>
                </c:pt>
                <c:pt idx="47">
                  <c:v>917.3812391259082</c:v>
                </c:pt>
                <c:pt idx="48">
                  <c:v>941.3332683477324</c:v>
                </c:pt>
                <c:pt idx="49">
                  <c:v>965.4078215382045</c:v>
                </c:pt>
                <c:pt idx="50">
                  <c:v>989.6030559866691</c:v>
                </c:pt>
                <c:pt idx="51">
                  <c:v>1013.917192380949</c:v>
                </c:pt>
                <c:pt idx="52">
                  <c:v>1038.348511445565</c:v>
                </c:pt>
                <c:pt idx="53">
                  <c:v>1062.8953508184443</c:v>
                </c:pt>
                <c:pt idx="54">
                  <c:v>1087.5561021451133</c:v>
                </c:pt>
                <c:pt idx="55">
                  <c:v>1112.3292083715176</c:v>
                </c:pt>
                <c:pt idx="56">
                  <c:v>1137.2131612185722</c:v>
                </c:pt>
                <c:pt idx="57">
                  <c:v>1162.2064988233099</c:v>
                </c:pt>
                <c:pt idx="58">
                  <c:v>1187.3078035328626</c:v>
                </c:pt>
                <c:pt idx="59">
                  <c:v>1212.5156998390416</c:v>
                </c:pt>
                <c:pt idx="60">
                  <c:v>1237.82885244226</c:v>
                </c:pt>
                <c:pt idx="61">
                  <c:v>1263.2459644348012</c:v>
                </c:pt>
                <c:pt idx="62">
                  <c:v>1288.765775594175</c:v>
                </c:pt>
                <c:pt idx="63">
                  <c:v>1314.3870607782999</c:v>
                </c:pt>
                <c:pt idx="64">
                  <c:v>1340.1086284149428</c:v>
                </c:pt>
                <c:pt idx="65">
                  <c:v>1365.9293190784633</c:v>
                </c:pt>
                <c:pt idx="66">
                  <c:v>1391.8480041476175</c:v>
                </c:pt>
                <c:pt idx="67">
                  <c:v>1417.8635845386166</c:v>
                </c:pt>
                <c:pt idx="68">
                  <c:v>1443.974989508231</c:v>
                </c:pt>
                <c:pt idx="69">
                  <c:v>1470.1811755220406</c:v>
                </c:pt>
                <c:pt idx="70">
                  <c:v>1496.4811251834492</c:v>
                </c:pt>
                <c:pt idx="71">
                  <c:v>1522.8738462193826</c:v>
                </c:pt>
                <c:pt idx="72">
                  <c:v>1549.3583705188864</c:v>
                </c:pt>
                <c:pt idx="73">
                  <c:v>1575.933753221257</c:v>
                </c:pt>
                <c:pt idx="74">
                  <c:v>1602.5990718504072</c:v>
                </c:pt>
                <c:pt idx="75">
                  <c:v>1629.353425492635</c:v>
                </c:pt>
                <c:pt idx="76">
                  <c:v>1656.195934015023</c:v>
                </c:pt>
                <c:pt idx="77">
                  <c:v>1683.125737321965</c:v>
                </c:pt>
                <c:pt idx="78">
                  <c:v>1710.1419946475066</c:v>
                </c:pt>
                <c:pt idx="79">
                  <c:v>1737.2438838813487</c:v>
                </c:pt>
                <c:pt idx="80">
                  <c:v>1764.4306009264526</c:v>
                </c:pt>
                <c:pt idx="81">
                  <c:v>1791.7013590864972</c:v>
                </c:pt>
                <c:pt idx="82">
                  <c:v>1819.0553884813469</c:v>
                </c:pt>
                <c:pt idx="83">
                  <c:v>1846.4919354889935</c:v>
                </c:pt>
                <c:pt idx="84">
                  <c:v>1874.0102622124562</c:v>
                </c:pt>
                <c:pt idx="85">
                  <c:v>1901.6096459702208</c:v>
                </c:pt>
                <c:pt idx="86">
                  <c:v>1929.2893788089536</c:v>
                </c:pt>
                <c:pt idx="87">
                  <c:v>1957.048767037231</c:v>
                </c:pt>
                <c:pt idx="88">
                  <c:v>1984.8871307791806</c:v>
                </c:pt>
                <c:pt idx="89">
                  <c:v>2012.8038035469726</c:v>
                </c:pt>
                <c:pt idx="90">
                  <c:v>2040.7981318311108</c:v>
                </c:pt>
                <c:pt idx="91">
                  <c:v>2068.869474707682</c:v>
                </c:pt>
                <c:pt idx="92">
                  <c:v>2097.017203461589</c:v>
                </c:pt>
                <c:pt idx="93">
                  <c:v>2125.2407012250387</c:v>
                </c:pt>
                <c:pt idx="94">
                  <c:v>2153.5393626304513</c:v>
                </c:pt>
                <c:pt idx="95">
                  <c:v>2181.912593477087</c:v>
                </c:pt>
                <c:pt idx="96">
                  <c:v>2210.359810410736</c:v>
                </c:pt>
                <c:pt idx="97">
                  <c:v>2238.8804406157774</c:v>
                </c:pt>
                <c:pt idx="98">
                  <c:v>2267.4739215190643</c:v>
                </c:pt>
              </c:numCache>
            </c:numRef>
          </c:yVal>
          <c:smooth val="1"/>
        </c:ser>
        <c:ser>
          <c:idx val="8"/>
          <c:order val="1"/>
          <c:tx>
            <c:v>Export parity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calculation'!$H$9:$H$108</c:f>
              <c:numCache>
                <c:ptCount val="100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calculation'!$L$9:$L$108</c:f>
              <c:numCache>
                <c:ptCount val="100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185</c:v>
                </c:pt>
                <c:pt idx="20">
                  <c:v>185</c:v>
                </c:pt>
                <c:pt idx="21">
                  <c:v>185</c:v>
                </c:pt>
                <c:pt idx="22">
                  <c:v>185</c:v>
                </c:pt>
                <c:pt idx="23">
                  <c:v>185</c:v>
                </c:pt>
                <c:pt idx="24">
                  <c:v>185</c:v>
                </c:pt>
                <c:pt idx="25">
                  <c:v>185</c:v>
                </c:pt>
                <c:pt idx="26">
                  <c:v>185</c:v>
                </c:pt>
                <c:pt idx="27">
                  <c:v>185</c:v>
                </c:pt>
                <c:pt idx="28">
                  <c:v>185</c:v>
                </c:pt>
                <c:pt idx="29">
                  <c:v>185</c:v>
                </c:pt>
                <c:pt idx="30">
                  <c:v>185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185</c:v>
                </c:pt>
                <c:pt idx="48">
                  <c:v>185</c:v>
                </c:pt>
                <c:pt idx="49">
                  <c:v>185</c:v>
                </c:pt>
                <c:pt idx="50">
                  <c:v>185</c:v>
                </c:pt>
                <c:pt idx="51">
                  <c:v>185</c:v>
                </c:pt>
                <c:pt idx="52">
                  <c:v>185</c:v>
                </c:pt>
                <c:pt idx="53">
                  <c:v>185</c:v>
                </c:pt>
                <c:pt idx="54">
                  <c:v>185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185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185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185</c:v>
                </c:pt>
                <c:pt idx="96">
                  <c:v>185</c:v>
                </c:pt>
                <c:pt idx="97">
                  <c:v>185</c:v>
                </c:pt>
                <c:pt idx="98">
                  <c:v>185</c:v>
                </c:pt>
              </c:numCache>
            </c:numRef>
          </c:yVal>
          <c:smooth val="1"/>
        </c:ser>
        <c:ser>
          <c:idx val="1"/>
          <c:order val="2"/>
          <c:tx>
            <c:v>World price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calculation'!$H$9:$H$107</c:f>
              <c:numCache>
                <c:ptCount val="99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calculation'!$K$9:$K$107</c:f>
              <c:numCache>
                <c:ptCount val="99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255</c:v>
                </c:pt>
                <c:pt idx="15">
                  <c:v>255</c:v>
                </c:pt>
                <c:pt idx="16">
                  <c:v>255</c:v>
                </c:pt>
                <c:pt idx="17">
                  <c:v>255</c:v>
                </c:pt>
                <c:pt idx="18">
                  <c:v>255</c:v>
                </c:pt>
                <c:pt idx="19">
                  <c:v>255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255</c:v>
                </c:pt>
                <c:pt idx="35">
                  <c:v>255</c:v>
                </c:pt>
                <c:pt idx="36">
                  <c:v>255</c:v>
                </c:pt>
                <c:pt idx="37">
                  <c:v>255</c:v>
                </c:pt>
                <c:pt idx="38">
                  <c:v>255</c:v>
                </c:pt>
                <c:pt idx="39">
                  <c:v>255</c:v>
                </c:pt>
                <c:pt idx="40">
                  <c:v>255</c:v>
                </c:pt>
                <c:pt idx="41">
                  <c:v>255</c:v>
                </c:pt>
                <c:pt idx="42">
                  <c:v>255</c:v>
                </c:pt>
                <c:pt idx="43">
                  <c:v>255</c:v>
                </c:pt>
                <c:pt idx="44">
                  <c:v>255</c:v>
                </c:pt>
                <c:pt idx="45">
                  <c:v>255</c:v>
                </c:pt>
                <c:pt idx="46">
                  <c:v>255</c:v>
                </c:pt>
                <c:pt idx="47">
                  <c:v>255</c:v>
                </c:pt>
                <c:pt idx="48">
                  <c:v>255</c:v>
                </c:pt>
                <c:pt idx="49">
                  <c:v>255</c:v>
                </c:pt>
                <c:pt idx="50">
                  <c:v>255</c:v>
                </c:pt>
                <c:pt idx="51">
                  <c:v>255</c:v>
                </c:pt>
                <c:pt idx="52">
                  <c:v>255</c:v>
                </c:pt>
                <c:pt idx="53">
                  <c:v>255</c:v>
                </c:pt>
                <c:pt idx="54">
                  <c:v>255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</c:numCache>
            </c:numRef>
          </c:yVal>
          <c:smooth val="1"/>
        </c:ser>
        <c:ser>
          <c:idx val="3"/>
          <c:order val="3"/>
          <c:tx>
            <c:v>Supply (after)</c:v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calculation'!$H$9:$H$108</c:f>
              <c:numCache>
                <c:ptCount val="100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calculation'!$N$9:$N$108</c:f>
              <c:numCache>
                <c:ptCount val="100"/>
                <c:pt idx="3">
                  <c:v>41.07459564932186</c:v>
                </c:pt>
                <c:pt idx="4">
                  <c:v>54.288871371292124</c:v>
                </c:pt>
                <c:pt idx="5">
                  <c:v>68.18476854615892</c:v>
                </c:pt>
                <c:pt idx="6">
                  <c:v>82.674363051297</c:v>
                </c:pt>
                <c:pt idx="7">
                  <c:v>97.69240278406669</c:v>
                </c:pt>
                <c:pt idx="8">
                  <c:v>113.18827582347801</c:v>
                </c:pt>
                <c:pt idx="9">
                  <c:v>129.12142420041621</c:v>
                </c:pt>
                <c:pt idx="10">
                  <c:v>145.4585198854985</c:v>
                </c:pt>
                <c:pt idx="11">
                  <c:v>162.17162377981182</c:v>
                </c:pt>
                <c:pt idx="12">
                  <c:v>179.23693057354856</c:v>
                </c:pt>
                <c:pt idx="13">
                  <c:v>196.633881537841</c:v>
                </c:pt>
                <c:pt idx="14">
                  <c:v>214.34451841283465</c:v>
                </c:pt>
                <c:pt idx="15">
                  <c:v>232.35300094504763</c:v>
                </c:pt>
                <c:pt idx="16">
                  <c:v>250.6452388561803</c:v>
                </c:pt>
                <c:pt idx="17">
                  <c:v>269.2086058883412</c:v>
                </c:pt>
                <c:pt idx="18">
                  <c:v>288.031714028843</c:v>
                </c:pt>
                <c:pt idx="19">
                  <c:v>307.10423271683914</c:v>
                </c:pt>
                <c:pt idx="20">
                  <c:v>326.416742247635</c:v>
                </c:pt>
                <c:pt idx="21">
                  <c:v>345.9606135711994</c:v>
                </c:pt>
                <c:pt idx="22">
                  <c:v>365.727908738913</c:v>
                </c:pt>
                <c:pt idx="23">
                  <c:v>385.7112977009936</c:v>
                </c:pt>
                <c:pt idx="24">
                  <c:v>405.90398819468675</c:v>
                </c:pt>
                <c:pt idx="25">
                  <c:v>426.29966621862525</c:v>
                </c:pt>
                <c:pt idx="26">
                  <c:v>446.8924451465347</c:v>
                </c:pt>
                <c:pt idx="27">
                  <c:v>467.6768219508053</c:v>
                </c:pt>
                <c:pt idx="28">
                  <c:v>488.647639322546</c:v>
                </c:pt>
                <c:pt idx="29">
                  <c:v>509.80005271674924</c:v>
                </c:pt>
                <c:pt idx="30">
                  <c:v>531.129501538473</c:v>
                </c:pt>
                <c:pt idx="31">
                  <c:v>552.6316838321691</c:v>
                </c:pt>
                <c:pt idx="32">
                  <c:v>574.3025339515137</c:v>
                </c:pt>
                <c:pt idx="33">
                  <c:v>596.138202778652</c:v>
                </c:pt>
                <c:pt idx="34">
                  <c:v>618.1350401349877</c:v>
                </c:pt>
                <c:pt idx="35">
                  <c:v>640.2895790847573</c:v>
                </c:pt>
                <c:pt idx="36">
                  <c:v>662.5985218805431</c:v>
                </c:pt>
                <c:pt idx="37">
                  <c:v>685.0587273390588</c:v>
                </c:pt>
                <c:pt idx="38">
                  <c:v>707.6671994676531</c:v>
                </c:pt>
                <c:pt idx="39">
                  <c:v>730.4210771886328</c:v>
                </c:pt>
                <c:pt idx="40">
                  <c:v>753.3176250305215</c:v>
                </c:pt>
                <c:pt idx="41">
                  <c:v>776.3542246737934</c:v>
                </c:pt>
                <c:pt idx="42">
                  <c:v>799.5283672541221</c:v>
                </c:pt>
                <c:pt idx="43">
                  <c:v>822.8376463391543</c:v>
                </c:pt>
                <c:pt idx="44">
                  <c:v>846.2797515058451</c:v>
                </c:pt>
                <c:pt idx="45">
                  <c:v>869.8524624547621</c:v>
                </c:pt>
                <c:pt idx="46">
                  <c:v>893.5536436057132</c:v>
                </c:pt>
                <c:pt idx="47">
                  <c:v>917.3812391259082</c:v>
                </c:pt>
                <c:pt idx="48">
                  <c:v>941.3332683477324</c:v>
                </c:pt>
                <c:pt idx="49">
                  <c:v>965.4078215382045</c:v>
                </c:pt>
                <c:pt idx="50">
                  <c:v>989.6030559866691</c:v>
                </c:pt>
                <c:pt idx="51">
                  <c:v>1013.917192380949</c:v>
                </c:pt>
                <c:pt idx="52">
                  <c:v>1038.348511445565</c:v>
                </c:pt>
                <c:pt idx="53">
                  <c:v>1062.8953508184443</c:v>
                </c:pt>
                <c:pt idx="54">
                  <c:v>1087.5561021451133</c:v>
                </c:pt>
                <c:pt idx="55">
                  <c:v>1112.3292083715176</c:v>
                </c:pt>
                <c:pt idx="56">
                  <c:v>1137.2131612185722</c:v>
                </c:pt>
                <c:pt idx="57">
                  <c:v>1162.2064988233099</c:v>
                </c:pt>
                <c:pt idx="58">
                  <c:v>1187.3078035328626</c:v>
                </c:pt>
                <c:pt idx="59">
                  <c:v>1212.5156998390416</c:v>
                </c:pt>
                <c:pt idx="60">
                  <c:v>1237.82885244226</c:v>
                </c:pt>
                <c:pt idx="61">
                  <c:v>1263.2459644348012</c:v>
                </c:pt>
                <c:pt idx="62">
                  <c:v>1288.765775594175</c:v>
                </c:pt>
                <c:pt idx="63">
                  <c:v>1314.3870607782999</c:v>
                </c:pt>
                <c:pt idx="64">
                  <c:v>1340.1086284149428</c:v>
                </c:pt>
                <c:pt idx="65">
                  <c:v>1365.9293190784633</c:v>
                </c:pt>
                <c:pt idx="66">
                  <c:v>1391.8480041476175</c:v>
                </c:pt>
                <c:pt idx="67">
                  <c:v>1417.8635845386166</c:v>
                </c:pt>
                <c:pt idx="68">
                  <c:v>1443.974989508231</c:v>
                </c:pt>
                <c:pt idx="69">
                  <c:v>1470.1811755220406</c:v>
                </c:pt>
                <c:pt idx="70">
                  <c:v>1496.4811251834492</c:v>
                </c:pt>
                <c:pt idx="71">
                  <c:v>1522.8738462193826</c:v>
                </c:pt>
                <c:pt idx="72">
                  <c:v>1549.3583705188864</c:v>
                </c:pt>
                <c:pt idx="73">
                  <c:v>1575.933753221257</c:v>
                </c:pt>
                <c:pt idx="74">
                  <c:v>1602.5990718504072</c:v>
                </c:pt>
                <c:pt idx="75">
                  <c:v>1629.353425492635</c:v>
                </c:pt>
                <c:pt idx="76">
                  <c:v>1656.195934015023</c:v>
                </c:pt>
                <c:pt idx="77">
                  <c:v>1683.125737321965</c:v>
                </c:pt>
                <c:pt idx="78">
                  <c:v>1710.1419946475066</c:v>
                </c:pt>
                <c:pt idx="79">
                  <c:v>1737.2438838813487</c:v>
                </c:pt>
                <c:pt idx="80">
                  <c:v>1764.4306009264526</c:v>
                </c:pt>
                <c:pt idx="81">
                  <c:v>1791.7013590864972</c:v>
                </c:pt>
                <c:pt idx="82">
                  <c:v>1819.0553884813469</c:v>
                </c:pt>
                <c:pt idx="83">
                  <c:v>1846.4919354889935</c:v>
                </c:pt>
                <c:pt idx="84">
                  <c:v>1874.0102622124562</c:v>
                </c:pt>
                <c:pt idx="85">
                  <c:v>1901.6096459702208</c:v>
                </c:pt>
                <c:pt idx="86">
                  <c:v>1929.2893788089536</c:v>
                </c:pt>
                <c:pt idx="87">
                  <c:v>1957.048767037231</c:v>
                </c:pt>
                <c:pt idx="88">
                  <c:v>1984.8871307791806</c:v>
                </c:pt>
                <c:pt idx="89">
                  <c:v>2012.8038035469726</c:v>
                </c:pt>
                <c:pt idx="90">
                  <c:v>2040.7981318311108</c:v>
                </c:pt>
                <c:pt idx="91">
                  <c:v>2068.869474707682</c:v>
                </c:pt>
                <c:pt idx="92">
                  <c:v>2097.017203461589</c:v>
                </c:pt>
                <c:pt idx="93">
                  <c:v>2125.2407012250387</c:v>
                </c:pt>
                <c:pt idx="94">
                  <c:v>2153.5393626304513</c:v>
                </c:pt>
                <c:pt idx="95">
                  <c:v>2181.912593477087</c:v>
                </c:pt>
                <c:pt idx="96">
                  <c:v>2210.359810410736</c:v>
                </c:pt>
                <c:pt idx="97">
                  <c:v>2238.8804406157774</c:v>
                </c:pt>
                <c:pt idx="98">
                  <c:v>2267.4739215190643</c:v>
                </c:pt>
              </c:numCache>
            </c:numRef>
          </c:yVal>
          <c:smooth val="1"/>
        </c:ser>
        <c:ser>
          <c:idx val="9"/>
          <c:order val="4"/>
          <c:tx>
            <c:v>Export parity price (after)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calculation'!$H$9:$H$108</c:f>
              <c:numCache>
                <c:ptCount val="100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calculation'!$Q$9:$Q$108</c:f>
              <c:numCache>
                <c:ptCount val="100"/>
                <c:pt idx="0">
                  <c:v>185</c:v>
                </c:pt>
                <c:pt idx="1">
                  <c:v>185</c:v>
                </c:pt>
                <c:pt idx="2">
                  <c:v>185</c:v>
                </c:pt>
                <c:pt idx="3">
                  <c:v>185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  <c:pt idx="12">
                  <c:v>185</c:v>
                </c:pt>
                <c:pt idx="13">
                  <c:v>185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185</c:v>
                </c:pt>
                <c:pt idx="20">
                  <c:v>185</c:v>
                </c:pt>
                <c:pt idx="21">
                  <c:v>185</c:v>
                </c:pt>
                <c:pt idx="22">
                  <c:v>185</c:v>
                </c:pt>
                <c:pt idx="23">
                  <c:v>185</c:v>
                </c:pt>
                <c:pt idx="24">
                  <c:v>185</c:v>
                </c:pt>
                <c:pt idx="25">
                  <c:v>185</c:v>
                </c:pt>
                <c:pt idx="26">
                  <c:v>185</c:v>
                </c:pt>
                <c:pt idx="27">
                  <c:v>185</c:v>
                </c:pt>
                <c:pt idx="28">
                  <c:v>185</c:v>
                </c:pt>
                <c:pt idx="29">
                  <c:v>185</c:v>
                </c:pt>
                <c:pt idx="30">
                  <c:v>185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185</c:v>
                </c:pt>
                <c:pt idx="48">
                  <c:v>185</c:v>
                </c:pt>
                <c:pt idx="49">
                  <c:v>185</c:v>
                </c:pt>
                <c:pt idx="50">
                  <c:v>185</c:v>
                </c:pt>
                <c:pt idx="51">
                  <c:v>185</c:v>
                </c:pt>
                <c:pt idx="52">
                  <c:v>185</c:v>
                </c:pt>
                <c:pt idx="53">
                  <c:v>185</c:v>
                </c:pt>
                <c:pt idx="54">
                  <c:v>185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185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185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185</c:v>
                </c:pt>
                <c:pt idx="96">
                  <c:v>185</c:v>
                </c:pt>
                <c:pt idx="97">
                  <c:v>185</c:v>
                </c:pt>
                <c:pt idx="98">
                  <c:v>185</c:v>
                </c:pt>
              </c:numCache>
            </c:numRef>
          </c:yVal>
          <c:smooth val="1"/>
        </c:ser>
        <c:ser>
          <c:idx val="2"/>
          <c:order val="5"/>
          <c:tx>
            <c:v>World price (after)</c:v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'Coffee calculation'!$H$9:$H$107</c:f>
              <c:numCache>
                <c:ptCount val="99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  <c:pt idx="5">
                  <c:v>90</c:v>
                </c:pt>
                <c:pt idx="6">
                  <c:v>105</c:v>
                </c:pt>
                <c:pt idx="7">
                  <c:v>120</c:v>
                </c:pt>
                <c:pt idx="8">
                  <c:v>135</c:v>
                </c:pt>
                <c:pt idx="9">
                  <c:v>150</c:v>
                </c:pt>
                <c:pt idx="10">
                  <c:v>165</c:v>
                </c:pt>
                <c:pt idx="11">
                  <c:v>180</c:v>
                </c:pt>
                <c:pt idx="12">
                  <c:v>195</c:v>
                </c:pt>
                <c:pt idx="13">
                  <c:v>210</c:v>
                </c:pt>
                <c:pt idx="14">
                  <c:v>225</c:v>
                </c:pt>
                <c:pt idx="15">
                  <c:v>240</c:v>
                </c:pt>
                <c:pt idx="16">
                  <c:v>255</c:v>
                </c:pt>
                <c:pt idx="17">
                  <c:v>270</c:v>
                </c:pt>
                <c:pt idx="18">
                  <c:v>285</c:v>
                </c:pt>
                <c:pt idx="19">
                  <c:v>300</c:v>
                </c:pt>
                <c:pt idx="20">
                  <c:v>315</c:v>
                </c:pt>
                <c:pt idx="21">
                  <c:v>330</c:v>
                </c:pt>
                <c:pt idx="22">
                  <c:v>345</c:v>
                </c:pt>
                <c:pt idx="23">
                  <c:v>360</c:v>
                </c:pt>
                <c:pt idx="24">
                  <c:v>375</c:v>
                </c:pt>
                <c:pt idx="25">
                  <c:v>390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450</c:v>
                </c:pt>
                <c:pt idx="30">
                  <c:v>465</c:v>
                </c:pt>
                <c:pt idx="31">
                  <c:v>480</c:v>
                </c:pt>
                <c:pt idx="32">
                  <c:v>495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555</c:v>
                </c:pt>
                <c:pt idx="37">
                  <c:v>570</c:v>
                </c:pt>
                <c:pt idx="38">
                  <c:v>585</c:v>
                </c:pt>
                <c:pt idx="39">
                  <c:v>600</c:v>
                </c:pt>
                <c:pt idx="40">
                  <c:v>615</c:v>
                </c:pt>
                <c:pt idx="41">
                  <c:v>630</c:v>
                </c:pt>
                <c:pt idx="42">
                  <c:v>645</c:v>
                </c:pt>
                <c:pt idx="43">
                  <c:v>660</c:v>
                </c:pt>
                <c:pt idx="44">
                  <c:v>675</c:v>
                </c:pt>
                <c:pt idx="45">
                  <c:v>690</c:v>
                </c:pt>
                <c:pt idx="46">
                  <c:v>705</c:v>
                </c:pt>
                <c:pt idx="47">
                  <c:v>720</c:v>
                </c:pt>
                <c:pt idx="48">
                  <c:v>735</c:v>
                </c:pt>
                <c:pt idx="49">
                  <c:v>750</c:v>
                </c:pt>
                <c:pt idx="50">
                  <c:v>765</c:v>
                </c:pt>
                <c:pt idx="51">
                  <c:v>780</c:v>
                </c:pt>
                <c:pt idx="52">
                  <c:v>795</c:v>
                </c:pt>
                <c:pt idx="53">
                  <c:v>810</c:v>
                </c:pt>
                <c:pt idx="54">
                  <c:v>825</c:v>
                </c:pt>
                <c:pt idx="55">
                  <c:v>840</c:v>
                </c:pt>
                <c:pt idx="56">
                  <c:v>855</c:v>
                </c:pt>
                <c:pt idx="57">
                  <c:v>870</c:v>
                </c:pt>
                <c:pt idx="58">
                  <c:v>885</c:v>
                </c:pt>
                <c:pt idx="59">
                  <c:v>900</c:v>
                </c:pt>
                <c:pt idx="60">
                  <c:v>915</c:v>
                </c:pt>
                <c:pt idx="61">
                  <c:v>930</c:v>
                </c:pt>
                <c:pt idx="62">
                  <c:v>945</c:v>
                </c:pt>
                <c:pt idx="63">
                  <c:v>960</c:v>
                </c:pt>
                <c:pt idx="64">
                  <c:v>975</c:v>
                </c:pt>
                <c:pt idx="65">
                  <c:v>990</c:v>
                </c:pt>
                <c:pt idx="66">
                  <c:v>1005</c:v>
                </c:pt>
                <c:pt idx="67">
                  <c:v>1020</c:v>
                </c:pt>
                <c:pt idx="68">
                  <c:v>1035</c:v>
                </c:pt>
                <c:pt idx="69">
                  <c:v>1050</c:v>
                </c:pt>
                <c:pt idx="70">
                  <c:v>1065</c:v>
                </c:pt>
                <c:pt idx="71">
                  <c:v>1080</c:v>
                </c:pt>
                <c:pt idx="72">
                  <c:v>1095</c:v>
                </c:pt>
                <c:pt idx="73">
                  <c:v>1110</c:v>
                </c:pt>
                <c:pt idx="74">
                  <c:v>1125</c:v>
                </c:pt>
                <c:pt idx="75">
                  <c:v>1140</c:v>
                </c:pt>
                <c:pt idx="76">
                  <c:v>1155</c:v>
                </c:pt>
                <c:pt idx="77">
                  <c:v>1170</c:v>
                </c:pt>
                <c:pt idx="78">
                  <c:v>1185</c:v>
                </c:pt>
                <c:pt idx="79">
                  <c:v>1200</c:v>
                </c:pt>
                <c:pt idx="80">
                  <c:v>1215</c:v>
                </c:pt>
                <c:pt idx="81">
                  <c:v>1230</c:v>
                </c:pt>
                <c:pt idx="82">
                  <c:v>1245</c:v>
                </c:pt>
                <c:pt idx="83">
                  <c:v>1260</c:v>
                </c:pt>
                <c:pt idx="84">
                  <c:v>1275</c:v>
                </c:pt>
                <c:pt idx="85">
                  <c:v>1290</c:v>
                </c:pt>
                <c:pt idx="86">
                  <c:v>1305</c:v>
                </c:pt>
                <c:pt idx="87">
                  <c:v>1320</c:v>
                </c:pt>
                <c:pt idx="88">
                  <c:v>1335</c:v>
                </c:pt>
                <c:pt idx="89">
                  <c:v>1350</c:v>
                </c:pt>
                <c:pt idx="90">
                  <c:v>1365</c:v>
                </c:pt>
                <c:pt idx="91">
                  <c:v>1380</c:v>
                </c:pt>
                <c:pt idx="92">
                  <c:v>1395</c:v>
                </c:pt>
                <c:pt idx="93">
                  <c:v>1410</c:v>
                </c:pt>
                <c:pt idx="94">
                  <c:v>1425</c:v>
                </c:pt>
                <c:pt idx="95">
                  <c:v>1440</c:v>
                </c:pt>
                <c:pt idx="96">
                  <c:v>1455</c:v>
                </c:pt>
                <c:pt idx="97">
                  <c:v>1470</c:v>
                </c:pt>
                <c:pt idx="98">
                  <c:v>1485</c:v>
                </c:pt>
              </c:numCache>
            </c:numRef>
          </c:xVal>
          <c:yVal>
            <c:numRef>
              <c:f>'Coffee calculation'!$P$9:$P$107</c:f>
              <c:numCache>
                <c:ptCount val="99"/>
                <c:pt idx="0">
                  <c:v>255</c:v>
                </c:pt>
                <c:pt idx="1">
                  <c:v>255</c:v>
                </c:pt>
                <c:pt idx="2">
                  <c:v>255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255</c:v>
                </c:pt>
                <c:pt idx="7">
                  <c:v>255</c:v>
                </c:pt>
                <c:pt idx="8">
                  <c:v>255</c:v>
                </c:pt>
                <c:pt idx="9">
                  <c:v>255</c:v>
                </c:pt>
                <c:pt idx="10">
                  <c:v>255</c:v>
                </c:pt>
                <c:pt idx="11">
                  <c:v>255</c:v>
                </c:pt>
                <c:pt idx="12">
                  <c:v>255</c:v>
                </c:pt>
                <c:pt idx="13">
                  <c:v>255</c:v>
                </c:pt>
                <c:pt idx="14">
                  <c:v>255</c:v>
                </c:pt>
                <c:pt idx="15">
                  <c:v>255</c:v>
                </c:pt>
                <c:pt idx="16">
                  <c:v>255</c:v>
                </c:pt>
                <c:pt idx="17">
                  <c:v>255</c:v>
                </c:pt>
                <c:pt idx="18">
                  <c:v>255</c:v>
                </c:pt>
                <c:pt idx="19">
                  <c:v>255</c:v>
                </c:pt>
                <c:pt idx="20">
                  <c:v>255</c:v>
                </c:pt>
                <c:pt idx="21">
                  <c:v>255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255</c:v>
                </c:pt>
                <c:pt idx="35">
                  <c:v>255</c:v>
                </c:pt>
                <c:pt idx="36">
                  <c:v>255</c:v>
                </c:pt>
                <c:pt idx="37">
                  <c:v>255</c:v>
                </c:pt>
                <c:pt idx="38">
                  <c:v>255</c:v>
                </c:pt>
                <c:pt idx="39">
                  <c:v>255</c:v>
                </c:pt>
                <c:pt idx="40">
                  <c:v>255</c:v>
                </c:pt>
                <c:pt idx="41">
                  <c:v>255</c:v>
                </c:pt>
                <c:pt idx="42">
                  <c:v>255</c:v>
                </c:pt>
                <c:pt idx="43">
                  <c:v>255</c:v>
                </c:pt>
                <c:pt idx="44">
                  <c:v>255</c:v>
                </c:pt>
                <c:pt idx="45">
                  <c:v>255</c:v>
                </c:pt>
                <c:pt idx="46">
                  <c:v>255</c:v>
                </c:pt>
                <c:pt idx="47">
                  <c:v>255</c:v>
                </c:pt>
                <c:pt idx="48">
                  <c:v>255</c:v>
                </c:pt>
                <c:pt idx="49">
                  <c:v>255</c:v>
                </c:pt>
                <c:pt idx="50">
                  <c:v>255</c:v>
                </c:pt>
                <c:pt idx="51">
                  <c:v>255</c:v>
                </c:pt>
                <c:pt idx="52">
                  <c:v>255</c:v>
                </c:pt>
                <c:pt idx="53">
                  <c:v>255</c:v>
                </c:pt>
                <c:pt idx="54">
                  <c:v>255</c:v>
                </c:pt>
                <c:pt idx="55">
                  <c:v>255</c:v>
                </c:pt>
                <c:pt idx="56">
                  <c:v>255</c:v>
                </c:pt>
                <c:pt idx="57">
                  <c:v>255</c:v>
                </c:pt>
                <c:pt idx="58">
                  <c:v>255</c:v>
                </c:pt>
                <c:pt idx="59">
                  <c:v>255</c:v>
                </c:pt>
                <c:pt idx="60">
                  <c:v>255</c:v>
                </c:pt>
                <c:pt idx="61">
                  <c:v>255</c:v>
                </c:pt>
                <c:pt idx="62">
                  <c:v>255</c:v>
                </c:pt>
                <c:pt idx="63">
                  <c:v>255</c:v>
                </c:pt>
                <c:pt idx="64">
                  <c:v>255</c:v>
                </c:pt>
                <c:pt idx="65">
                  <c:v>255</c:v>
                </c:pt>
                <c:pt idx="66">
                  <c:v>255</c:v>
                </c:pt>
                <c:pt idx="67">
                  <c:v>255</c:v>
                </c:pt>
                <c:pt idx="68">
                  <c:v>255</c:v>
                </c:pt>
                <c:pt idx="69">
                  <c:v>255</c:v>
                </c:pt>
                <c:pt idx="70">
                  <c:v>255</c:v>
                </c:pt>
                <c:pt idx="71">
                  <c:v>255</c:v>
                </c:pt>
                <c:pt idx="72">
                  <c:v>255</c:v>
                </c:pt>
                <c:pt idx="73">
                  <c:v>255</c:v>
                </c:pt>
                <c:pt idx="74">
                  <c:v>255</c:v>
                </c:pt>
                <c:pt idx="75">
                  <c:v>255</c:v>
                </c:pt>
                <c:pt idx="76">
                  <c:v>255</c:v>
                </c:pt>
                <c:pt idx="77">
                  <c:v>255</c:v>
                </c:pt>
                <c:pt idx="78">
                  <c:v>255</c:v>
                </c:pt>
                <c:pt idx="79">
                  <c:v>255</c:v>
                </c:pt>
                <c:pt idx="80">
                  <c:v>255</c:v>
                </c:pt>
                <c:pt idx="81">
                  <c:v>255</c:v>
                </c:pt>
                <c:pt idx="82">
                  <c:v>255</c:v>
                </c:pt>
                <c:pt idx="83">
                  <c:v>255</c:v>
                </c:pt>
                <c:pt idx="84">
                  <c:v>255</c:v>
                </c:pt>
                <c:pt idx="85">
                  <c:v>255</c:v>
                </c:pt>
                <c:pt idx="86">
                  <c:v>255</c:v>
                </c:pt>
                <c:pt idx="87">
                  <c:v>255</c:v>
                </c:pt>
                <c:pt idx="88">
                  <c:v>255</c:v>
                </c:pt>
                <c:pt idx="89">
                  <c:v>255</c:v>
                </c:pt>
                <c:pt idx="90">
                  <c:v>255</c:v>
                </c:pt>
                <c:pt idx="91">
                  <c:v>255</c:v>
                </c:pt>
                <c:pt idx="92">
                  <c:v>255</c:v>
                </c:pt>
                <c:pt idx="93">
                  <c:v>255</c:v>
                </c:pt>
                <c:pt idx="94">
                  <c:v>255</c:v>
                </c:pt>
                <c:pt idx="95">
                  <c:v>255</c:v>
                </c:pt>
                <c:pt idx="96">
                  <c:v>255</c:v>
                </c:pt>
                <c:pt idx="97">
                  <c:v>255</c:v>
                </c:pt>
                <c:pt idx="98">
                  <c:v>255</c:v>
                </c:pt>
              </c:numCache>
            </c:numRef>
          </c:yVal>
          <c:smooth val="1"/>
        </c:ser>
        <c:axId val="15716723"/>
        <c:axId val="7232780"/>
      </c:scatterChart>
      <c:valAx>
        <c:axId val="1571672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(kg)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780"/>
        <c:crosses val="autoZero"/>
        <c:crossBetween val="midCat"/>
        <c:dispUnits/>
      </c:valAx>
      <c:valAx>
        <c:axId val="723278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(KSh/kg) 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6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13525"/>
          <c:w val="0.234"/>
          <c:h val="0.339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47625</xdr:rowOff>
    </xdr:from>
    <xdr:to>
      <xdr:col>18</xdr:col>
      <xdr:colOff>371475</xdr:colOff>
      <xdr:row>28</xdr:row>
      <xdr:rowOff>47625</xdr:rowOff>
    </xdr:to>
    <xdr:graphicFrame>
      <xdr:nvGraphicFramePr>
        <xdr:cNvPr id="1" name="Chart 3"/>
        <xdr:cNvGraphicFramePr/>
      </xdr:nvGraphicFramePr>
      <xdr:xfrm>
        <a:off x="6400800" y="390525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28</xdr:row>
      <xdr:rowOff>152400</xdr:rowOff>
    </xdr:from>
    <xdr:to>
      <xdr:col>18</xdr:col>
      <xdr:colOff>361950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6419850" y="4705350"/>
        <a:ext cx="5429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"/>
  <sheetViews>
    <sheetView tabSelected="1" zoomScalePageLayoutView="0" workbookViewId="0" topLeftCell="A1">
      <selection activeCell="W1" sqref="W1"/>
    </sheetView>
  </sheetViews>
  <sheetFormatPr defaultColWidth="4.28125" defaultRowHeight="12.75"/>
  <cols>
    <col min="1" max="22" width="4.28125" style="107" customWidth="1"/>
    <col min="23" max="23" width="4.28125" style="108" customWidth="1"/>
    <col min="24" max="45" width="4.28125" style="107" customWidth="1"/>
  </cols>
  <sheetData>
    <row r="1" ht="12.75">
      <c r="A1" s="107" t="s">
        <v>83</v>
      </c>
    </row>
    <row r="2" ht="12.75">
      <c r="B2" s="107" t="s">
        <v>104</v>
      </c>
    </row>
    <row r="4" spans="1:24" ht="12.75">
      <c r="A4" s="114" t="s">
        <v>93</v>
      </c>
      <c r="W4" s="110" t="s">
        <v>85</v>
      </c>
      <c r="X4" s="118"/>
    </row>
    <row r="5" spans="1:24" ht="12.75">
      <c r="A5" s="115"/>
      <c r="B5" s="107" t="s">
        <v>94</v>
      </c>
      <c r="W5" s="113"/>
      <c r="X5" s="107" t="s">
        <v>99</v>
      </c>
    </row>
    <row r="6" spans="3:24" ht="12.75">
      <c r="C6" s="107" t="s">
        <v>95</v>
      </c>
      <c r="W6" s="119"/>
      <c r="X6" s="118" t="s">
        <v>86</v>
      </c>
    </row>
    <row r="7" spans="3:24" ht="12.75">
      <c r="C7" s="107" t="s">
        <v>96</v>
      </c>
      <c r="X7" s="118" t="s">
        <v>100</v>
      </c>
    </row>
    <row r="8" spans="3:24" ht="12.75">
      <c r="C8" s="107" t="s">
        <v>97</v>
      </c>
      <c r="X8" s="118" t="s">
        <v>98</v>
      </c>
    </row>
    <row r="9" spans="23:24" ht="12.75">
      <c r="W9" s="120"/>
      <c r="X9" s="116" t="s">
        <v>87</v>
      </c>
    </row>
    <row r="10" spans="1:24" ht="12.75">
      <c r="A10" s="109" t="s">
        <v>84</v>
      </c>
      <c r="X10" s="116" t="s">
        <v>101</v>
      </c>
    </row>
    <row r="11" spans="1:24" ht="12.75">
      <c r="A11" s="111"/>
      <c r="B11" s="107" t="s">
        <v>88</v>
      </c>
      <c r="C11" s="112"/>
      <c r="D11" s="112"/>
      <c r="X11" s="116" t="s">
        <v>102</v>
      </c>
    </row>
    <row r="12" spans="1:3" ht="12.75">
      <c r="A12" s="112"/>
      <c r="C12" s="107" t="s">
        <v>91</v>
      </c>
    </row>
    <row r="13" spans="1:2" ht="12.75">
      <c r="A13" s="121"/>
      <c r="B13" s="107" t="s">
        <v>89</v>
      </c>
    </row>
    <row r="14" spans="1:4" ht="12.75">
      <c r="A14" s="112"/>
      <c r="C14" s="107" t="s">
        <v>90</v>
      </c>
      <c r="D14" s="112"/>
    </row>
    <row r="15" spans="1:4" ht="12.75">
      <c r="A15" s="112"/>
      <c r="B15" s="107" t="s">
        <v>92</v>
      </c>
      <c r="C15" s="112"/>
      <c r="D15" s="112"/>
    </row>
    <row r="16" ht="12.75">
      <c r="D16" s="112"/>
    </row>
    <row r="23" ht="12.75">
      <c r="D23" s="1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58"/>
  <sheetViews>
    <sheetView zoomScale="85" zoomScaleNormal="85" zoomScalePageLayoutView="0" workbookViewId="0" topLeftCell="A1">
      <selection activeCell="H17" sqref="H17"/>
    </sheetView>
  </sheetViews>
  <sheetFormatPr defaultColWidth="9.140625" defaultRowHeight="12.75"/>
  <cols>
    <col min="2" max="2" width="17.8515625" style="0" customWidth="1"/>
    <col min="3" max="3" width="11.140625" style="0" customWidth="1"/>
    <col min="4" max="4" width="10.00390625" style="0" customWidth="1"/>
    <col min="5" max="5" width="11.421875" style="0" customWidth="1"/>
    <col min="6" max="6" width="0.85546875" style="0" customWidth="1"/>
    <col min="7" max="7" width="11.00390625" style="0" customWidth="1"/>
    <col min="8" max="8" width="9.7109375" style="0" customWidth="1"/>
    <col min="9" max="9" width="11.8515625" style="0" customWidth="1"/>
    <col min="10" max="10" width="9.57421875" style="0" bestFit="1" customWidth="1"/>
    <col min="11" max="11" width="11.7109375" style="0" customWidth="1"/>
    <col min="14" max="14" width="7.8515625" style="0" customWidth="1"/>
    <col min="15" max="15" width="4.28125" style="0" customWidth="1"/>
    <col min="16" max="16" width="9.28125" style="0" bestFit="1" customWidth="1"/>
    <col min="19" max="19" width="7.00390625" style="0" customWidth="1"/>
    <col min="20" max="20" width="8.28125" style="0" customWidth="1"/>
    <col min="21" max="21" width="8.28125" style="41" customWidth="1"/>
  </cols>
  <sheetData>
    <row r="1" spans="1:2" ht="21.75" customHeight="1">
      <c r="A1" s="122" t="s">
        <v>27</v>
      </c>
      <c r="B1" s="122"/>
    </row>
    <row r="2" spans="10:19" ht="5.25" customHeight="1"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51" t="s">
        <v>16</v>
      </c>
      <c r="B3" s="4"/>
      <c r="C3" s="53" t="s">
        <v>28</v>
      </c>
      <c r="D3" s="53" t="s">
        <v>29</v>
      </c>
      <c r="E3" s="53" t="s">
        <v>73</v>
      </c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2.75">
      <c r="A4" s="42" t="s">
        <v>35</v>
      </c>
      <c r="B4" s="6"/>
      <c r="C4" s="105">
        <v>1</v>
      </c>
      <c r="D4" s="105">
        <v>0.5</v>
      </c>
      <c r="F4" s="63"/>
      <c r="H4" s="49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ht="12.75">
      <c r="A5" s="42" t="s">
        <v>69</v>
      </c>
      <c r="B5" s="6"/>
      <c r="C5" s="103">
        <v>1000</v>
      </c>
      <c r="D5" s="103">
        <v>400</v>
      </c>
      <c r="F5" s="77"/>
      <c r="H5" s="49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2.75">
      <c r="A6" s="49" t="s">
        <v>33</v>
      </c>
      <c r="C6" s="61">
        <f>C4*C5</f>
        <v>1000</v>
      </c>
      <c r="D6" s="61">
        <f>D4*D5</f>
        <v>200</v>
      </c>
      <c r="H6" s="49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2.75">
      <c r="A7" s="49" t="s">
        <v>32</v>
      </c>
      <c r="C7" s="103">
        <v>1000</v>
      </c>
      <c r="D7" s="61">
        <v>0</v>
      </c>
      <c r="H7" s="49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2.75">
      <c r="A8" s="49" t="s">
        <v>31</v>
      </c>
      <c r="C8" s="61">
        <f>C7-C6</f>
        <v>0</v>
      </c>
      <c r="D8" s="61">
        <v>0</v>
      </c>
      <c r="H8" s="49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2.75">
      <c r="A9" s="49" t="s">
        <v>37</v>
      </c>
      <c r="C9" s="106">
        <v>32</v>
      </c>
      <c r="D9" s="106">
        <f>D10*85/1000-D13</f>
        <v>185</v>
      </c>
      <c r="F9" s="49"/>
      <c r="H9" s="49"/>
      <c r="I9" s="49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2.75">
      <c r="A10" s="49" t="s">
        <v>39</v>
      </c>
      <c r="C10" s="61"/>
      <c r="D10" s="103">
        <v>3000</v>
      </c>
      <c r="E10" s="49"/>
      <c r="H10" s="49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2.75">
      <c r="A11" s="49" t="s">
        <v>38</v>
      </c>
      <c r="C11" s="106">
        <v>28</v>
      </c>
      <c r="D11" s="67">
        <f>P_cf_w*ExchRate/1000</f>
        <v>255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2.75">
      <c r="A12" s="49" t="s">
        <v>40</v>
      </c>
      <c r="C12" s="68"/>
      <c r="D12" s="50">
        <v>0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2.75">
      <c r="A13" s="49" t="s">
        <v>42</v>
      </c>
      <c r="C13" s="103">
        <v>8</v>
      </c>
      <c r="D13" s="103">
        <v>70</v>
      </c>
      <c r="H13" s="49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2.75">
      <c r="A14" s="49" t="s">
        <v>41</v>
      </c>
      <c r="D14" s="61"/>
      <c r="E14" s="103">
        <v>85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2.75">
      <c r="A15" s="49" t="s">
        <v>0</v>
      </c>
      <c r="C15" s="105">
        <v>0.5</v>
      </c>
      <c r="D15" s="105">
        <v>0.8</v>
      </c>
      <c r="H15" s="49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2.75">
      <c r="A16" t="s">
        <v>1</v>
      </c>
      <c r="C16" s="105">
        <v>-0.3</v>
      </c>
      <c r="D16" s="65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2.75">
      <c r="A17" t="s">
        <v>4</v>
      </c>
      <c r="C17" s="105">
        <v>0.4</v>
      </c>
      <c r="D17" s="65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2.75">
      <c r="A18" t="s">
        <v>74</v>
      </c>
      <c r="C18" s="105">
        <v>-0.3</v>
      </c>
      <c r="D18" s="105">
        <v>-1</v>
      </c>
      <c r="F18" s="58"/>
      <c r="I18" s="58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2.75">
      <c r="A19" s="49" t="s">
        <v>75</v>
      </c>
      <c r="E19" s="103">
        <v>500</v>
      </c>
      <c r="F19" s="58"/>
      <c r="I19" s="58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2.75">
      <c r="A20" s="32" t="s">
        <v>76</v>
      </c>
      <c r="B20" s="4"/>
      <c r="C20" s="4"/>
      <c r="D20" s="4"/>
      <c r="E20" s="104">
        <v>40</v>
      </c>
      <c r="F20" s="58"/>
      <c r="I20" s="58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12.75">
      <c r="A21" s="49"/>
      <c r="C21" s="41"/>
      <c r="D21" s="41"/>
      <c r="F21" s="58"/>
      <c r="I21" s="58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.75">
      <c r="A22" s="51" t="s">
        <v>72</v>
      </c>
      <c r="B22" s="4"/>
      <c r="C22" s="53" t="s">
        <v>28</v>
      </c>
      <c r="D22" s="53" t="s">
        <v>29</v>
      </c>
      <c r="E22" s="53" t="s">
        <v>73</v>
      </c>
      <c r="F22" s="59"/>
      <c r="I22" s="59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.75">
      <c r="A23" t="s">
        <v>9</v>
      </c>
      <c r="D23" s="64"/>
      <c r="E23" s="83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2.75">
      <c r="A24" s="49" t="s">
        <v>71</v>
      </c>
      <c r="E24" s="83"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.75">
      <c r="A25" s="49" t="s">
        <v>77</v>
      </c>
      <c r="E25" s="83"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2.75">
      <c r="A26" s="49" t="s">
        <v>78</v>
      </c>
      <c r="E26" s="83"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2.75">
      <c r="A27" s="49" t="s">
        <v>56</v>
      </c>
      <c r="C27" s="83">
        <v>0</v>
      </c>
      <c r="D27" s="83"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2.75">
      <c r="A28" s="49" t="s">
        <v>82</v>
      </c>
      <c r="C28" s="83">
        <v>0</v>
      </c>
      <c r="D28" s="83"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2.75">
      <c r="A29" s="32" t="s">
        <v>81</v>
      </c>
      <c r="B29" s="4"/>
      <c r="C29" s="102">
        <v>0</v>
      </c>
      <c r="D29" s="102">
        <v>0</v>
      </c>
      <c r="E29" s="4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.75">
      <c r="A30" s="80" t="s">
        <v>18</v>
      </c>
      <c r="B30" s="80"/>
      <c r="C30" s="81">
        <v>0</v>
      </c>
      <c r="D30" s="81">
        <v>0</v>
      </c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3:19" ht="12.75">
      <c r="C31" s="72"/>
      <c r="D31" s="53" t="s">
        <v>28</v>
      </c>
      <c r="E31" s="53"/>
      <c r="F31" s="74"/>
      <c r="G31" s="73"/>
      <c r="H31" s="75" t="s">
        <v>63</v>
      </c>
      <c r="I31" s="53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2.75">
      <c r="A32" s="51" t="s">
        <v>17</v>
      </c>
      <c r="B32" s="4"/>
      <c r="C32" s="52" t="s">
        <v>7</v>
      </c>
      <c r="D32" s="53" t="s">
        <v>8</v>
      </c>
      <c r="E32" s="53" t="s">
        <v>62</v>
      </c>
      <c r="F32" s="53"/>
      <c r="G32" s="52" t="s">
        <v>7</v>
      </c>
      <c r="H32" s="53" t="s">
        <v>8</v>
      </c>
      <c r="I32" s="53" t="s">
        <v>62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2.75">
      <c r="A33" s="42" t="s">
        <v>35</v>
      </c>
      <c r="B33" s="6"/>
      <c r="C33" s="84">
        <f>EXP(SAalpha_mz+Sbeta_mz*LN(P_mz_0)+Sbeta_mz_cf*LN(P_cf_0))</f>
        <v>1</v>
      </c>
      <c r="D33" s="84">
        <f>EXP(SAalpha_mz+Sbeta_mz*LN(P_mz_1)+Sbeta_mz_cf*LN(P_cf_1))</f>
        <v>1</v>
      </c>
      <c r="E33" s="85">
        <f>IF(C33&gt;0,D33/C33-1,"N.D.")</f>
        <v>0</v>
      </c>
      <c r="F33" s="85"/>
      <c r="G33" s="84">
        <f>EXP('Coffee calculation'!SAalpha_cf+'Coffee calculation'!Sbeta_cf*LN(P_cf_0)+Sbeta_cf_mz*LN(P_mz_0))</f>
        <v>0.4999999999999997</v>
      </c>
      <c r="H33" s="84">
        <f>EXP('Coffee calculation'!SAalpha_cf+'Coffee calculation'!Sbeta_cf*LN(P_cf_1)+Sbeta_cf_mz*LN(P_mz_1))</f>
        <v>0.4999999999999997</v>
      </c>
      <c r="I33" s="85">
        <f aca="true" t="shared" si="0" ref="I33:I39">IF(G33&gt;0.0001,H33/G33-1,"N.D.")</f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2.75">
      <c r="A34" s="42" t="s">
        <v>36</v>
      </c>
      <c r="B34" s="6"/>
      <c r="C34" s="86">
        <f>Yield_mz</f>
        <v>1000</v>
      </c>
      <c r="D34" s="86">
        <f>Yield_mz*(1+PctChSupply_mz)*(1+E_ym_pfert*PctChPFert)</f>
        <v>1000</v>
      </c>
      <c r="E34" s="85">
        <f>IF(C34&gt;0,D34/C34-1,"N.D.")</f>
        <v>0</v>
      </c>
      <c r="F34" s="85"/>
      <c r="G34" s="86">
        <f>Yield_cf</f>
        <v>400</v>
      </c>
      <c r="H34" s="86">
        <f>Yield_cf*(1+PctChSupply_cf)*(1+E_yc_pfert*PctChPFert)</f>
        <v>400</v>
      </c>
      <c r="I34" s="85">
        <f t="shared" si="0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2.75">
      <c r="A35" s="49" t="s">
        <v>33</v>
      </c>
      <c r="C35" s="86">
        <f>C33*C34</f>
        <v>1000</v>
      </c>
      <c r="D35" s="86">
        <f>D33*D34</f>
        <v>1000</v>
      </c>
      <c r="E35" s="85">
        <f>IF(C35&gt;0,D35/C35-1,"N.D.")</f>
        <v>0</v>
      </c>
      <c r="F35" s="85"/>
      <c r="G35" s="86">
        <f>G33*G34</f>
        <v>199.9999999999999</v>
      </c>
      <c r="H35" s="86">
        <f>H33*H34</f>
        <v>199.9999999999999</v>
      </c>
      <c r="I35" s="85">
        <f t="shared" si="0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2.75">
      <c r="A36" s="49" t="s">
        <v>32</v>
      </c>
      <c r="C36" s="86">
        <f>EXP(Dalpha_mz+Dbeta_mz*LN(P_mz_0)+Dgamma*LN(Y))</f>
        <v>999.9999999999998</v>
      </c>
      <c r="D36" s="86">
        <f>EXP(Dalpha_mz+Dbeta_mz*LN(P_mz_1)+Dgamma*LN(Y*(1+PctChIncome)))</f>
        <v>999.9999999999998</v>
      </c>
      <c r="E36" s="85">
        <f aca="true" t="shared" si="1" ref="E36:E44">IF(C36&gt;0,D36/C36-1,"N.D.")</f>
        <v>0</v>
      </c>
      <c r="F36" s="85"/>
      <c r="G36" s="57">
        <v>0</v>
      </c>
      <c r="H36" s="86">
        <v>0</v>
      </c>
      <c r="I36" s="85" t="str">
        <f t="shared" si="0"/>
        <v>N.D.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2.75">
      <c r="A37" s="49" t="s">
        <v>31</v>
      </c>
      <c r="C37" s="86">
        <f>MAX(Qd0_mz-Qs0_mz,0)</f>
        <v>0</v>
      </c>
      <c r="D37" s="86">
        <f>MAX(Qd1_mz-Qs1_mz,0)</f>
        <v>0</v>
      </c>
      <c r="E37" s="85" t="str">
        <f>IF(C37&gt;0.0001,D37/C37-1,"N.D.")</f>
        <v>N.D.</v>
      </c>
      <c r="F37" s="85"/>
      <c r="G37" s="86">
        <f>MAX(Qd0_cf-Qs0_cf,0)</f>
        <v>0</v>
      </c>
      <c r="H37" s="86">
        <v>0</v>
      </c>
      <c r="I37" s="85" t="str">
        <f t="shared" si="0"/>
        <v>N.D.</v>
      </c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2.75">
      <c r="A38" s="49" t="s">
        <v>34</v>
      </c>
      <c r="C38" s="86">
        <f>MAX(Qs0_mz-Qd0_mz,0)</f>
        <v>2.2737367544323206E-13</v>
      </c>
      <c r="D38" s="86">
        <f>MAX(Qs1_mz-Qd1_mz,0)</f>
        <v>2.2737367544323206E-13</v>
      </c>
      <c r="E38" s="85" t="str">
        <f>IF(C38&gt;0.0001,D38/C38-1,"N.D.")</f>
        <v>N.D.</v>
      </c>
      <c r="F38" s="85"/>
      <c r="G38" s="86">
        <f>MAX(Qs0_cf-Qd0_cf,0)</f>
        <v>199.9999999999999</v>
      </c>
      <c r="H38" s="86">
        <f>MAX(Qs1_cf-Qd1_cf,0)</f>
        <v>199.9999999999999</v>
      </c>
      <c r="I38" s="85">
        <f t="shared" si="0"/>
        <v>0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2.75">
      <c r="A39" s="49" t="s">
        <v>50</v>
      </c>
      <c r="C39" s="87">
        <f>C38/Qs0_mz</f>
        <v>2.2737367544323206E-16</v>
      </c>
      <c r="D39" s="87">
        <f>D38/Qs1_mz</f>
        <v>2.2737367544323206E-16</v>
      </c>
      <c r="E39" s="85"/>
      <c r="F39" s="85"/>
      <c r="G39" s="87">
        <f>G38/Qs0_cf</f>
        <v>1</v>
      </c>
      <c r="H39" s="87">
        <f>H38/Qs1_cf</f>
        <v>1</v>
      </c>
      <c r="I39" s="85">
        <f t="shared" si="0"/>
        <v>0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2.75">
      <c r="A40" s="49" t="s">
        <v>46</v>
      </c>
      <c r="C40" s="86">
        <f>EXP((Dalpha_mz+Dgamma*LN(Y)-LN(Yield_mz)-SAalpha_mz-Sbeta_mz_cf*LN(P_cf_0))/(Sbeta_mz-Dbeta_mz))</f>
        <v>32.000000000000014</v>
      </c>
      <c r="D40" s="86">
        <f>EXP((Dalpha_mz+Dgamma*LN(Y*(1+PctChIncome))-LN(Yield_mz1)-SAalpha_mz-Sbeta_mz_cf*LN(P_cf_1))/(Sbeta_mz-Dbeta_mz))</f>
        <v>32.000000000000014</v>
      </c>
      <c r="E40" s="85">
        <f t="shared" si="1"/>
        <v>0</v>
      </c>
      <c r="F40" s="85"/>
      <c r="G40" s="88" t="s">
        <v>45</v>
      </c>
      <c r="H40" s="88" t="s">
        <v>45</v>
      </c>
      <c r="I40" s="89" t="s">
        <v>45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2.75">
      <c r="A41" s="49" t="s">
        <v>57</v>
      </c>
      <c r="C41" s="86"/>
      <c r="D41" s="86"/>
      <c r="E41" s="85"/>
      <c r="F41" s="85"/>
      <c r="G41" s="88">
        <f>P_cf_w*ExchRate/1000</f>
        <v>255</v>
      </c>
      <c r="H41" s="88">
        <f>P_cf_w*(1+PctChWP_cf)*ExchRate*(1+PctChExchRate)/1000</f>
        <v>255</v>
      </c>
      <c r="I41" s="85">
        <f>IF(G41&gt;0.0001,H41/G41-1,"N.D.")</f>
        <v>0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2.75">
      <c r="A42" s="49" t="s">
        <v>47</v>
      </c>
      <c r="C42" s="86">
        <f>P_mz_mkt+Transpcost_mz</f>
        <v>36</v>
      </c>
      <c r="D42" s="86">
        <f>P_mz_mkt*(1+PctChWP_mz)*(1+New_tariff)+Transpcost_mz*(1+PctChTranspCost_mz)</f>
        <v>36</v>
      </c>
      <c r="E42" s="85">
        <f t="shared" si="1"/>
        <v>0</v>
      </c>
      <c r="F42" s="85"/>
      <c r="G42" s="88" t="s">
        <v>45</v>
      </c>
      <c r="H42" s="88" t="s">
        <v>45</v>
      </c>
      <c r="I42" s="88" t="s">
        <v>45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12.75">
      <c r="A43" s="49" t="s">
        <v>48</v>
      </c>
      <c r="C43" s="86">
        <f>P_mz_mkt-Transpcost_mz</f>
        <v>20</v>
      </c>
      <c r="D43" s="86">
        <f>P_mz_mkt*(1+PctChWP_mz)-Transpcost_mz*(1+PctChTranspCost_mz)</f>
        <v>20</v>
      </c>
      <c r="E43" s="85">
        <f t="shared" si="1"/>
        <v>0</v>
      </c>
      <c r="F43" s="85"/>
      <c r="G43" s="86">
        <f>P_cf_w*ExchRate/1000-Transpcost_cf</f>
        <v>185</v>
      </c>
      <c r="H43" s="86">
        <f>P_cf_w*(1+PctChWP_cf)*ExchRate*(1+PctChExchRate)/1000-Transpcost_cf*(1+PctChTranspCost_cf)</f>
        <v>185</v>
      </c>
      <c r="I43" s="85">
        <f>IF(G43&gt;0.0001,H43/G43-1,"N.D.")</f>
        <v>0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2.75">
      <c r="A44" s="32" t="s">
        <v>49</v>
      </c>
      <c r="B44" s="4"/>
      <c r="C44" s="90">
        <f>MAX(EPP_mz,MIN(IPP_mz,P_mz_autarky0))</f>
        <v>32.000000000000014</v>
      </c>
      <c r="D44" s="90">
        <f>MAX(EPP_mz_after,MIN(IPP_mz_after,P_mz_autarky1))</f>
        <v>32.000000000000014</v>
      </c>
      <c r="E44" s="91">
        <f t="shared" si="1"/>
        <v>0</v>
      </c>
      <c r="F44" s="91"/>
      <c r="G44" s="90">
        <f>EPP_cf</f>
        <v>185</v>
      </c>
      <c r="H44" s="90">
        <f>EPP_cf_after</f>
        <v>185</v>
      </c>
      <c r="I44" s="91">
        <f>IF(G44&gt;0.0001,H44/G44-1,"N.D.")</f>
        <v>0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2.75">
      <c r="A45" s="42"/>
      <c r="B45" s="6"/>
      <c r="C45" s="92"/>
      <c r="D45" s="92"/>
      <c r="E45" s="93" t="s">
        <v>7</v>
      </c>
      <c r="F45" s="94"/>
      <c r="G45" s="95" t="s">
        <v>8</v>
      </c>
      <c r="H45" s="96" t="s">
        <v>62</v>
      </c>
      <c r="I45" s="94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2.75">
      <c r="A46" s="33" t="s">
        <v>79</v>
      </c>
      <c r="B46" s="6"/>
      <c r="C46" s="92"/>
      <c r="D46" s="92"/>
      <c r="E46" s="97">
        <f>P_fert_w*ExchRate/1000+FertMktCost</f>
        <v>82.5</v>
      </c>
      <c r="F46" s="98"/>
      <c r="G46" s="97">
        <f>P_fert_w*(1+PctChWFertP)*ExchRate*(1+PctChExchRate)/1000+FertMktCost*(1+PctChFertMktCost)</f>
        <v>82.5</v>
      </c>
      <c r="H46" s="99">
        <f>(G46-E46)/E46</f>
        <v>0</v>
      </c>
      <c r="I46" s="94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ht="12.75">
      <c r="A47" s="33" t="s">
        <v>80</v>
      </c>
      <c r="B47" s="6"/>
      <c r="C47" s="92"/>
      <c r="D47" s="92"/>
      <c r="E47" s="100">
        <f>C38*EPP_mz+G38*EPP_cf</f>
        <v>36999.999999999985</v>
      </c>
      <c r="F47" s="94"/>
      <c r="G47" s="101">
        <f>D38*EPP_mz_after+H38*EPP_cf_after</f>
        <v>36999.999999999985</v>
      </c>
      <c r="H47" s="99">
        <f>(G47-E47)/E47</f>
        <v>0</v>
      </c>
      <c r="I47" s="94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ht="12.75">
      <c r="A48" s="33" t="s">
        <v>70</v>
      </c>
      <c r="B48" s="6"/>
      <c r="C48" s="92"/>
      <c r="D48" s="92"/>
      <c r="E48" s="94">
        <f>(P_mz_0*C38+P_cf_0*G38)/(P_mz_0*Qs0_mz+P_cf_0*Qs0_cf)</f>
        <v>0.5362318840579708</v>
      </c>
      <c r="F48" s="94"/>
      <c r="G48" s="94">
        <f>(P_mz_0*D38+P_cf_0*H38)/(P_mz_0*Qs1_mz+P_cf_0*Qs1_cf)</f>
        <v>0.5362318840579708</v>
      </c>
      <c r="H48" s="92"/>
      <c r="I48" s="94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12.75">
      <c r="A49" s="42" t="s">
        <v>43</v>
      </c>
      <c r="B49" s="6"/>
      <c r="C49" s="7"/>
      <c r="D49" s="7"/>
      <c r="E49" s="9"/>
      <c r="F49" s="9"/>
      <c r="G49" s="9"/>
      <c r="H49" s="9"/>
      <c r="I49" s="9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ht="12.75">
      <c r="A50" s="33" t="s">
        <v>44</v>
      </c>
      <c r="B50" s="6"/>
      <c r="C50" s="7"/>
      <c r="D50" s="7"/>
      <c r="E50" s="9"/>
      <c r="F50" s="9"/>
      <c r="G50" s="9"/>
      <c r="H50" s="9"/>
      <c r="I50" s="9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2.75">
      <c r="A51" s="42" t="s">
        <v>103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0:19" ht="12.75"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7:19" ht="12.75">
      <c r="G53" s="41"/>
      <c r="H53" s="41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7:19" ht="12.75">
      <c r="G54" s="41"/>
      <c r="H54" s="41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ht="12.75">
      <c r="A55" s="79"/>
      <c r="H55" s="41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ht="12.75">
      <c r="A56" s="78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2.75">
      <c r="A57" s="79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2:19" ht="12.75">
      <c r="B58" s="49"/>
      <c r="J58" s="82"/>
      <c r="K58" s="82"/>
      <c r="L58" s="82"/>
      <c r="M58" s="82"/>
      <c r="N58" s="82"/>
      <c r="O58" s="82"/>
      <c r="P58" s="82"/>
      <c r="Q58" s="82"/>
      <c r="R58" s="82"/>
      <c r="S58" s="8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161"/>
  <sheetViews>
    <sheetView zoomScale="80" zoomScaleNormal="80" zoomScalePageLayoutView="0" workbookViewId="0" topLeftCell="A2">
      <selection activeCell="D37" sqref="D37"/>
    </sheetView>
  </sheetViews>
  <sheetFormatPr defaultColWidth="9.140625" defaultRowHeight="12.75"/>
  <cols>
    <col min="1" max="1" width="9.140625" style="40" customWidth="1"/>
    <col min="2" max="2" width="14.8515625" style="40" customWidth="1"/>
    <col min="3" max="3" width="17.7109375" style="40" customWidth="1"/>
    <col min="4" max="4" width="11.421875" style="40" customWidth="1"/>
    <col min="5" max="5" width="10.8515625" style="40" customWidth="1"/>
    <col min="6" max="6" width="5.421875" style="40" customWidth="1"/>
    <col min="7" max="7" width="4.8515625" style="40" customWidth="1"/>
    <col min="8" max="8" width="11.7109375" style="40" customWidth="1"/>
    <col min="9" max="9" width="10.28125" style="40" bestFit="1" customWidth="1"/>
    <col min="10" max="10" width="9.140625" style="40" customWidth="1"/>
    <col min="11" max="12" width="7.8515625" style="40" customWidth="1"/>
    <col min="13" max="13" width="4.140625" style="40" customWidth="1"/>
    <col min="14" max="17" width="9.140625" style="40" customWidth="1"/>
    <col min="18" max="19" width="8.28125" style="40" customWidth="1"/>
    <col min="20" max="16384" width="9.140625" style="40" customWidth="1"/>
  </cols>
  <sheetData>
    <row r="1" spans="1:2" ht="20.25">
      <c r="A1" s="43"/>
      <c r="B1" s="56" t="s">
        <v>22</v>
      </c>
    </row>
    <row r="2" spans="2:19" ht="21" customHeight="1" thickBot="1">
      <c r="B2" s="54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  <c r="S2"/>
    </row>
    <row r="3" spans="2:19" ht="21" customHeight="1" thickTop="1">
      <c r="B3" s="5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/>
      <c r="S3"/>
    </row>
    <row r="4" spans="2:19" ht="12.75">
      <c r="B4" s="6"/>
      <c r="C4" s="6"/>
      <c r="D4" s="7"/>
      <c r="E4" s="6"/>
      <c r="F4" s="6"/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2.75">
      <c r="B5" s="62" t="s">
        <v>30</v>
      </c>
      <c r="C5" s="11"/>
      <c r="D5" s="12"/>
      <c r="E5" s="13"/>
      <c r="F5" s="6"/>
      <c r="G5"/>
      <c r="H5" s="10" t="s">
        <v>19</v>
      </c>
      <c r="I5" s="11"/>
      <c r="J5" s="11"/>
      <c r="K5" s="11"/>
      <c r="L5" s="11"/>
      <c r="M5" s="11"/>
      <c r="N5" s="11"/>
      <c r="O5" s="11"/>
      <c r="P5" s="11"/>
      <c r="Q5" s="11"/>
      <c r="R5" s="28"/>
      <c r="S5"/>
    </row>
    <row r="6" spans="2:19" ht="12.75">
      <c r="B6" s="14"/>
      <c r="C6" s="6"/>
      <c r="D6" s="7"/>
      <c r="E6" s="15"/>
      <c r="F6" s="6"/>
      <c r="G6"/>
      <c r="H6" s="14"/>
      <c r="I6" s="4"/>
      <c r="J6" s="5" t="s">
        <v>7</v>
      </c>
      <c r="K6" s="5"/>
      <c r="L6" s="5"/>
      <c r="M6" s="6"/>
      <c r="N6" s="4"/>
      <c r="O6" s="5" t="s">
        <v>8</v>
      </c>
      <c r="P6" s="5"/>
      <c r="Q6" s="5"/>
      <c r="R6" s="36"/>
      <c r="S6"/>
    </row>
    <row r="7" spans="2:19" ht="12.75">
      <c r="B7" s="16" t="s">
        <v>14</v>
      </c>
      <c r="C7" s="4"/>
      <c r="D7" s="7"/>
      <c r="E7" s="15"/>
      <c r="F7" s="6"/>
      <c r="G7"/>
      <c r="H7" s="21" t="s">
        <v>3</v>
      </c>
      <c r="I7" s="22" t="s">
        <v>5</v>
      </c>
      <c r="J7" s="22" t="s">
        <v>6</v>
      </c>
      <c r="K7" s="60" t="s">
        <v>24</v>
      </c>
      <c r="L7" s="60" t="s">
        <v>25</v>
      </c>
      <c r="M7" s="6"/>
      <c r="N7" s="22" t="s">
        <v>5</v>
      </c>
      <c r="O7" s="22" t="s">
        <v>6</v>
      </c>
      <c r="P7" s="60" t="s">
        <v>24</v>
      </c>
      <c r="Q7" s="60" t="s">
        <v>25</v>
      </c>
      <c r="R7" s="29"/>
      <c r="S7"/>
    </row>
    <row r="8" spans="2:19" ht="12.75">
      <c r="B8" s="14" t="s">
        <v>59</v>
      </c>
      <c r="C8" s="6"/>
      <c r="D8" s="7"/>
      <c r="E8" s="15"/>
      <c r="F8" s="6"/>
      <c r="G8"/>
      <c r="H8" s="21"/>
      <c r="I8" s="22"/>
      <c r="J8" s="6"/>
      <c r="K8" s="60" t="s">
        <v>26</v>
      </c>
      <c r="L8" s="60" t="s">
        <v>26</v>
      </c>
      <c r="M8" s="6"/>
      <c r="N8" s="6"/>
      <c r="O8" s="6"/>
      <c r="P8" s="60" t="s">
        <v>26</v>
      </c>
      <c r="Q8" s="60" t="s">
        <v>26</v>
      </c>
      <c r="R8" s="15"/>
      <c r="S8" s="26" t="s">
        <v>20</v>
      </c>
    </row>
    <row r="9" spans="2:19" ht="12.75">
      <c r="B9" s="14" t="s">
        <v>58</v>
      </c>
      <c r="C9" s="6"/>
      <c r="D9" s="7"/>
      <c r="E9" s="15"/>
      <c r="F9" s="6"/>
      <c r="G9">
        <v>1</v>
      </c>
      <c r="H9" s="23">
        <f aca="true" t="shared" si="0" ref="H9:H40">G9*S$9</f>
        <v>20</v>
      </c>
      <c r="I9" s="24"/>
      <c r="J9" s="7"/>
      <c r="K9" s="8">
        <f aca="true" t="shared" si="1" ref="K9:K40">IPP_mz</f>
        <v>36</v>
      </c>
      <c r="L9" s="8">
        <f aca="true" t="shared" si="2" ref="L9:L40">EPP_mz</f>
        <v>20</v>
      </c>
      <c r="M9" s="6"/>
      <c r="N9" s="6"/>
      <c r="O9" s="6"/>
      <c r="P9" s="6">
        <f aca="true" t="shared" si="3" ref="P9:P40">IPP_mz_after</f>
        <v>36</v>
      </c>
      <c r="Q9" s="6">
        <f aca="true" t="shared" si="4" ref="Q9:Q40">EPP_mz_after</f>
        <v>20</v>
      </c>
      <c r="R9"/>
      <c r="S9" s="38">
        <v>20</v>
      </c>
    </row>
    <row r="10" spans="2:19" ht="12.75">
      <c r="B10" s="76" t="s">
        <v>64</v>
      </c>
      <c r="C10" s="6"/>
      <c r="D10" s="17">
        <f>LN(Area_mz)-Es_mz*LN(P_mz_hh)-Es_mz_cf*LN(P_cf_hh)</f>
        <v>0.3552743786314665</v>
      </c>
      <c r="E10" s="15"/>
      <c r="F10" s="6"/>
      <c r="G10">
        <f aca="true" t="shared" si="5" ref="G10:G41">1+G9</f>
        <v>2</v>
      </c>
      <c r="H10" s="23">
        <f t="shared" si="0"/>
        <v>40</v>
      </c>
      <c r="I10" s="24"/>
      <c r="J10" s="7"/>
      <c r="K10" s="8">
        <f t="shared" si="1"/>
        <v>36</v>
      </c>
      <c r="L10" s="8">
        <f t="shared" si="2"/>
        <v>20</v>
      </c>
      <c r="M10" s="6"/>
      <c r="N10" s="6"/>
      <c r="O10" s="6"/>
      <c r="P10" s="6">
        <f t="shared" si="3"/>
        <v>36</v>
      </c>
      <c r="Q10" s="6">
        <f t="shared" si="4"/>
        <v>20</v>
      </c>
      <c r="R10"/>
      <c r="S10" s="39"/>
    </row>
    <row r="11" spans="2:19" ht="12.75">
      <c r="B11" s="76" t="s">
        <v>65</v>
      </c>
      <c r="C11" s="6"/>
      <c r="D11" s="17">
        <f>Es_mz</f>
        <v>0.5</v>
      </c>
      <c r="E11" s="15"/>
      <c r="F11" s="6"/>
      <c r="G11">
        <f t="shared" si="5"/>
        <v>3</v>
      </c>
      <c r="H11" s="23">
        <f t="shared" si="0"/>
        <v>60</v>
      </c>
      <c r="I11" s="24"/>
      <c r="J11" s="7"/>
      <c r="K11" s="8">
        <f t="shared" si="1"/>
        <v>36</v>
      </c>
      <c r="L11" s="8">
        <f t="shared" si="2"/>
        <v>20</v>
      </c>
      <c r="M11" s="6"/>
      <c r="N11" s="6"/>
      <c r="O11" s="6"/>
      <c r="P11" s="6">
        <f t="shared" si="3"/>
        <v>36</v>
      </c>
      <c r="Q11" s="6">
        <f t="shared" si="4"/>
        <v>20</v>
      </c>
      <c r="R11"/>
      <c r="S11" s="14"/>
    </row>
    <row r="12" spans="2:19" ht="12.75">
      <c r="B12" s="76" t="s">
        <v>66</v>
      </c>
      <c r="C12" s="6"/>
      <c r="D12" s="17">
        <f>(-1)*Es_cf*Area_cf/Area_mz</f>
        <v>-0.4</v>
      </c>
      <c r="E12" s="15"/>
      <c r="F12" s="6"/>
      <c r="G12">
        <f t="shared" si="5"/>
        <v>4</v>
      </c>
      <c r="H12" s="23">
        <f t="shared" si="0"/>
        <v>80</v>
      </c>
      <c r="I12" s="24"/>
      <c r="J12" s="7"/>
      <c r="K12" s="8">
        <f t="shared" si="1"/>
        <v>36</v>
      </c>
      <c r="L12" s="8">
        <f t="shared" si="2"/>
        <v>20</v>
      </c>
      <c r="M12" s="6"/>
      <c r="N12" s="6"/>
      <c r="O12" s="6"/>
      <c r="P12" s="6">
        <f t="shared" si="3"/>
        <v>36</v>
      </c>
      <c r="Q12" s="6">
        <f t="shared" si="4"/>
        <v>20</v>
      </c>
      <c r="R12"/>
      <c r="S12" s="14"/>
    </row>
    <row r="13" spans="2:19" ht="12.75">
      <c r="B13" s="14"/>
      <c r="C13" s="6"/>
      <c r="D13" s="7"/>
      <c r="E13" s="15"/>
      <c r="F13" s="6"/>
      <c r="G13">
        <f t="shared" si="5"/>
        <v>5</v>
      </c>
      <c r="H13" s="23">
        <f t="shared" si="0"/>
        <v>100</v>
      </c>
      <c r="I13" s="24"/>
      <c r="J13" s="7"/>
      <c r="K13" s="8">
        <f t="shared" si="1"/>
        <v>36</v>
      </c>
      <c r="L13" s="8">
        <f t="shared" si="2"/>
        <v>20</v>
      </c>
      <c r="M13" s="6"/>
      <c r="N13" s="6"/>
      <c r="O13" s="6"/>
      <c r="P13" s="6">
        <f t="shared" si="3"/>
        <v>36</v>
      </c>
      <c r="Q13" s="6">
        <f t="shared" si="4"/>
        <v>20</v>
      </c>
      <c r="R13"/>
      <c r="S13" s="14"/>
    </row>
    <row r="14" spans="2:19" ht="12.75">
      <c r="B14" s="16" t="s">
        <v>15</v>
      </c>
      <c r="C14" s="4"/>
      <c r="D14" s="6"/>
      <c r="E14" s="15"/>
      <c r="F14" s="6"/>
      <c r="G14">
        <f t="shared" si="5"/>
        <v>6</v>
      </c>
      <c r="H14" s="23">
        <f t="shared" si="0"/>
        <v>120</v>
      </c>
      <c r="I14" s="24"/>
      <c r="J14" s="7"/>
      <c r="K14" s="8">
        <f t="shared" si="1"/>
        <v>36</v>
      </c>
      <c r="L14" s="8">
        <f t="shared" si="2"/>
        <v>20</v>
      </c>
      <c r="M14" s="6"/>
      <c r="N14" s="6"/>
      <c r="O14" s="6"/>
      <c r="P14" s="6">
        <f t="shared" si="3"/>
        <v>36</v>
      </c>
      <c r="Q14" s="6">
        <f t="shared" si="4"/>
        <v>20</v>
      </c>
      <c r="R14"/>
      <c r="S14" s="14"/>
    </row>
    <row r="15" spans="2:19" ht="12.75">
      <c r="B15" s="14" t="s">
        <v>13</v>
      </c>
      <c r="C15" s="6"/>
      <c r="D15" s="6"/>
      <c r="E15" s="15"/>
      <c r="F15" s="6"/>
      <c r="G15">
        <f t="shared" si="5"/>
        <v>7</v>
      </c>
      <c r="H15" s="23">
        <f t="shared" si="0"/>
        <v>140</v>
      </c>
      <c r="I15" s="24"/>
      <c r="J15" s="7"/>
      <c r="K15" s="8">
        <f t="shared" si="1"/>
        <v>36</v>
      </c>
      <c r="L15" s="8">
        <f t="shared" si="2"/>
        <v>20</v>
      </c>
      <c r="M15" s="6"/>
      <c r="N15" s="6"/>
      <c r="O15" s="6"/>
      <c r="P15" s="6">
        <f t="shared" si="3"/>
        <v>36</v>
      </c>
      <c r="Q15" s="6">
        <f t="shared" si="4"/>
        <v>20</v>
      </c>
      <c r="R15"/>
      <c r="S15" s="14"/>
    </row>
    <row r="16" spans="2:19" ht="12.75">
      <c r="B16" s="27" t="s">
        <v>21</v>
      </c>
      <c r="C16" s="6"/>
      <c r="D16" s="7">
        <v>500</v>
      </c>
      <c r="E16" s="15"/>
      <c r="F16" s="6"/>
      <c r="G16">
        <f t="shared" si="5"/>
        <v>8</v>
      </c>
      <c r="H16" s="23">
        <f t="shared" si="0"/>
        <v>160</v>
      </c>
      <c r="I16" s="24"/>
      <c r="J16" s="7"/>
      <c r="K16" s="8">
        <f t="shared" si="1"/>
        <v>36</v>
      </c>
      <c r="L16" s="8">
        <f t="shared" si="2"/>
        <v>20</v>
      </c>
      <c r="M16" s="6"/>
      <c r="N16" s="6"/>
      <c r="O16" s="6"/>
      <c r="P16" s="6">
        <f t="shared" si="3"/>
        <v>36</v>
      </c>
      <c r="Q16" s="6">
        <f t="shared" si="4"/>
        <v>20</v>
      </c>
      <c r="R16"/>
      <c r="S16" s="14"/>
    </row>
    <row r="17" spans="2:19" ht="12.75">
      <c r="B17" s="14" t="s">
        <v>10</v>
      </c>
      <c r="C17" s="6"/>
      <c r="D17" s="18">
        <f>LN(Qd_mz)-Dbeta_mz*LN(P_mz_hh)-Edy_mz*LN(Y)</f>
        <v>5.461632810453178</v>
      </c>
      <c r="E17" s="15"/>
      <c r="F17" s="6"/>
      <c r="G17">
        <f t="shared" si="5"/>
        <v>9</v>
      </c>
      <c r="H17" s="23">
        <f t="shared" si="0"/>
        <v>180</v>
      </c>
      <c r="I17" s="24"/>
      <c r="J17" s="7"/>
      <c r="K17" s="8">
        <f t="shared" si="1"/>
        <v>36</v>
      </c>
      <c r="L17" s="8">
        <f t="shared" si="2"/>
        <v>20</v>
      </c>
      <c r="M17" s="6"/>
      <c r="N17" s="6"/>
      <c r="O17" s="6"/>
      <c r="P17" s="6">
        <f t="shared" si="3"/>
        <v>36</v>
      </c>
      <c r="Q17" s="6">
        <f t="shared" si="4"/>
        <v>20</v>
      </c>
      <c r="R17"/>
      <c r="S17" s="14"/>
    </row>
    <row r="18" spans="2:19" ht="12.75">
      <c r="B18" s="14" t="s">
        <v>11</v>
      </c>
      <c r="C18" s="6"/>
      <c r="D18" s="18">
        <f>Edp_mz</f>
        <v>-0.3</v>
      </c>
      <c r="E18" s="15"/>
      <c r="F18" s="6"/>
      <c r="G18">
        <f t="shared" si="5"/>
        <v>10</v>
      </c>
      <c r="H18" s="23">
        <f t="shared" si="0"/>
        <v>200</v>
      </c>
      <c r="I18" s="24">
        <f aca="true" t="shared" si="6" ref="I18:I49">EXP((LN($H18)-SAalpha_mz-Sbeta_mz_cf*LN(P_cf_0)-LN(Yield_mz))/Sbeta_mz)</f>
        <v>1.2800000000000002</v>
      </c>
      <c r="J18" s="7">
        <f aca="true" t="shared" si="7" ref="J18:J49">EXP((LN($H18)-Dalpha_mz-Dgamma*LN(Y))/Dbeta_mz)</f>
        <v>6839.903786706802</v>
      </c>
      <c r="K18" s="8">
        <f t="shared" si="1"/>
        <v>36</v>
      </c>
      <c r="L18" s="8">
        <f t="shared" si="2"/>
        <v>20</v>
      </c>
      <c r="M18" s="6"/>
      <c r="N18" s="24">
        <f aca="true" t="shared" si="8" ref="N18:N49">EXP((LN($H18)-SAalpha_mz-Sbeta_mz_cf*LN(P_cf_1)-LN(Yield_mz1))/Sbeta_mz)</f>
        <v>1.2800000000000002</v>
      </c>
      <c r="O18" s="7">
        <f aca="true" t="shared" si="9" ref="O18:O49">EXP((LN($H18)-Dalpha_mz-Dgamma*LN(Y*(1+PctChIncome)))/Dbeta_mz)</f>
        <v>6839.903786706802</v>
      </c>
      <c r="P18" s="6">
        <f t="shared" si="3"/>
        <v>36</v>
      </c>
      <c r="Q18" s="6">
        <f t="shared" si="4"/>
        <v>20</v>
      </c>
      <c r="R18"/>
      <c r="S18" s="14"/>
    </row>
    <row r="19" spans="2:19" ht="12.75">
      <c r="B19" s="14" t="s">
        <v>12</v>
      </c>
      <c r="C19" s="6"/>
      <c r="D19" s="17">
        <f>Edy_mz</f>
        <v>0.4</v>
      </c>
      <c r="E19" s="15"/>
      <c r="F19"/>
      <c r="G19">
        <f t="shared" si="5"/>
        <v>11</v>
      </c>
      <c r="H19" s="23">
        <f t="shared" si="0"/>
        <v>220</v>
      </c>
      <c r="I19" s="24">
        <f t="shared" si="6"/>
        <v>1.5488000000000028</v>
      </c>
      <c r="J19" s="7">
        <f t="shared" si="7"/>
        <v>4978.223327903258</v>
      </c>
      <c r="K19" s="8">
        <f t="shared" si="1"/>
        <v>36</v>
      </c>
      <c r="L19" s="8">
        <f t="shared" si="2"/>
        <v>20</v>
      </c>
      <c r="M19" s="6"/>
      <c r="N19" s="24">
        <f t="shared" si="8"/>
        <v>1.5488000000000028</v>
      </c>
      <c r="O19" s="7">
        <f t="shared" si="9"/>
        <v>4978.223327903258</v>
      </c>
      <c r="P19" s="6">
        <f t="shared" si="3"/>
        <v>36</v>
      </c>
      <c r="Q19" s="6">
        <f t="shared" si="4"/>
        <v>20</v>
      </c>
      <c r="R19"/>
      <c r="S19" s="14"/>
    </row>
    <row r="20" spans="2:19" ht="12.75">
      <c r="B20" s="16"/>
      <c r="C20" s="4"/>
      <c r="D20" s="19"/>
      <c r="E20" s="20"/>
      <c r="F20"/>
      <c r="G20">
        <f t="shared" si="5"/>
        <v>12</v>
      </c>
      <c r="H20" s="23">
        <f t="shared" si="0"/>
        <v>240</v>
      </c>
      <c r="I20" s="24">
        <f t="shared" si="6"/>
        <v>1.8432000000000013</v>
      </c>
      <c r="J20" s="7">
        <f t="shared" si="7"/>
        <v>3724.881885052584</v>
      </c>
      <c r="K20" s="8">
        <f t="shared" si="1"/>
        <v>36</v>
      </c>
      <c r="L20" s="8">
        <f t="shared" si="2"/>
        <v>20</v>
      </c>
      <c r="M20" s="6"/>
      <c r="N20" s="24">
        <f t="shared" si="8"/>
        <v>1.8432000000000013</v>
      </c>
      <c r="O20" s="7">
        <f t="shared" si="9"/>
        <v>3724.881885052584</v>
      </c>
      <c r="P20" s="6">
        <f t="shared" si="3"/>
        <v>36</v>
      </c>
      <c r="Q20" s="6">
        <f t="shared" si="4"/>
        <v>20</v>
      </c>
      <c r="R20"/>
      <c r="S20" s="14"/>
    </row>
    <row r="21" spans="2:19" ht="12.75">
      <c r="B21"/>
      <c r="C21"/>
      <c r="D21" s="1"/>
      <c r="E21"/>
      <c r="F21" s="6"/>
      <c r="G21">
        <f t="shared" si="5"/>
        <v>13</v>
      </c>
      <c r="H21" s="23">
        <f t="shared" si="0"/>
        <v>260</v>
      </c>
      <c r="I21" s="24">
        <f t="shared" si="6"/>
        <v>2.1632000000000016</v>
      </c>
      <c r="J21" s="7">
        <f t="shared" si="7"/>
        <v>2852.586472810141</v>
      </c>
      <c r="K21" s="8">
        <f t="shared" si="1"/>
        <v>36</v>
      </c>
      <c r="L21" s="8">
        <f t="shared" si="2"/>
        <v>20</v>
      </c>
      <c r="M21" s="6"/>
      <c r="N21" s="24">
        <f t="shared" si="8"/>
        <v>2.1632000000000016</v>
      </c>
      <c r="O21" s="7">
        <f t="shared" si="9"/>
        <v>2852.586472810141</v>
      </c>
      <c r="P21" s="6">
        <f t="shared" si="3"/>
        <v>36</v>
      </c>
      <c r="Q21" s="6">
        <f t="shared" si="4"/>
        <v>20</v>
      </c>
      <c r="R21"/>
      <c r="S21" s="14"/>
    </row>
    <row r="22" spans="2:19" ht="12.75">
      <c r="B22"/>
      <c r="C22"/>
      <c r="D22" s="1"/>
      <c r="E22"/>
      <c r="F22" s="6"/>
      <c r="G22">
        <f t="shared" si="5"/>
        <v>14</v>
      </c>
      <c r="H22" s="23">
        <f t="shared" si="0"/>
        <v>280</v>
      </c>
      <c r="I22" s="24">
        <f t="shared" si="6"/>
        <v>2.5088000000000004</v>
      </c>
      <c r="J22" s="7">
        <f t="shared" si="7"/>
        <v>2228.212162776095</v>
      </c>
      <c r="K22" s="8">
        <f t="shared" si="1"/>
        <v>36</v>
      </c>
      <c r="L22" s="8">
        <f t="shared" si="2"/>
        <v>20</v>
      </c>
      <c r="M22" s="6"/>
      <c r="N22" s="24">
        <f t="shared" si="8"/>
        <v>2.5088000000000004</v>
      </c>
      <c r="O22" s="7">
        <f t="shared" si="9"/>
        <v>2228.212162776095</v>
      </c>
      <c r="P22" s="6">
        <f t="shared" si="3"/>
        <v>36</v>
      </c>
      <c r="Q22" s="6">
        <f t="shared" si="4"/>
        <v>20</v>
      </c>
      <c r="R22"/>
      <c r="S22" s="14"/>
    </row>
    <row r="23" spans="2:19" ht="12.75">
      <c r="B23" s="6"/>
      <c r="C23" s="18"/>
      <c r="D23" s="66"/>
      <c r="E23" s="22"/>
      <c r="F23" s="42"/>
      <c r="G23">
        <f t="shared" si="5"/>
        <v>15</v>
      </c>
      <c r="H23" s="23">
        <f t="shared" si="0"/>
        <v>300</v>
      </c>
      <c r="I23" s="24">
        <f t="shared" si="6"/>
        <v>2.8800000000000017</v>
      </c>
      <c r="J23" s="7">
        <f t="shared" si="7"/>
        <v>1770.4315048127073</v>
      </c>
      <c r="K23" s="8">
        <f t="shared" si="1"/>
        <v>36</v>
      </c>
      <c r="L23" s="8">
        <f t="shared" si="2"/>
        <v>20</v>
      </c>
      <c r="M23" s="6"/>
      <c r="N23" s="24">
        <f t="shared" si="8"/>
        <v>2.8800000000000017</v>
      </c>
      <c r="O23" s="7">
        <f t="shared" si="9"/>
        <v>1770.4315048127073</v>
      </c>
      <c r="P23" s="6">
        <f t="shared" si="3"/>
        <v>36</v>
      </c>
      <c r="Q23" s="6">
        <f t="shared" si="4"/>
        <v>20</v>
      </c>
      <c r="R23"/>
      <c r="S23" s="14"/>
    </row>
    <row r="24" spans="2:19" ht="12.75">
      <c r="B24" s="6"/>
      <c r="C24" s="18"/>
      <c r="D24" s="6"/>
      <c r="E24" s="6"/>
      <c r="F24" s="42"/>
      <c r="G24">
        <f t="shared" si="5"/>
        <v>16</v>
      </c>
      <c r="H24" s="23">
        <f t="shared" si="0"/>
        <v>320</v>
      </c>
      <c r="I24" s="24">
        <f t="shared" si="6"/>
        <v>3.2768000000000015</v>
      </c>
      <c r="J24" s="7">
        <f t="shared" si="7"/>
        <v>1427.7430362367525</v>
      </c>
      <c r="K24" s="8">
        <f t="shared" si="1"/>
        <v>36</v>
      </c>
      <c r="L24" s="8">
        <f t="shared" si="2"/>
        <v>20</v>
      </c>
      <c r="M24" s="6"/>
      <c r="N24" s="24">
        <f t="shared" si="8"/>
        <v>3.2768000000000015</v>
      </c>
      <c r="O24" s="7">
        <f t="shared" si="9"/>
        <v>1427.7430362367525</v>
      </c>
      <c r="P24" s="6">
        <f t="shared" si="3"/>
        <v>36</v>
      </c>
      <c r="Q24" s="6">
        <f t="shared" si="4"/>
        <v>20</v>
      </c>
      <c r="R24"/>
      <c r="S24" s="14"/>
    </row>
    <row r="25" spans="2:19" ht="12.75">
      <c r="B25" s="6"/>
      <c r="C25" s="6"/>
      <c r="D25" s="30"/>
      <c r="E25" s="6"/>
      <c r="F25" s="42"/>
      <c r="G25">
        <f t="shared" si="5"/>
        <v>17</v>
      </c>
      <c r="H25" s="23">
        <f t="shared" si="0"/>
        <v>340</v>
      </c>
      <c r="I25" s="24">
        <f t="shared" si="6"/>
        <v>3.6992000000000065</v>
      </c>
      <c r="J25" s="7">
        <f t="shared" si="7"/>
        <v>1166.5058510752528</v>
      </c>
      <c r="K25" s="8">
        <f t="shared" si="1"/>
        <v>36</v>
      </c>
      <c r="L25" s="8">
        <f t="shared" si="2"/>
        <v>20</v>
      </c>
      <c r="M25" s="6"/>
      <c r="N25" s="24">
        <f t="shared" si="8"/>
        <v>3.6992000000000065</v>
      </c>
      <c r="O25" s="7">
        <f t="shared" si="9"/>
        <v>1166.5058510752528</v>
      </c>
      <c r="P25" s="6">
        <f t="shared" si="3"/>
        <v>36</v>
      </c>
      <c r="Q25" s="6">
        <f t="shared" si="4"/>
        <v>20</v>
      </c>
      <c r="R25"/>
      <c r="S25" s="14"/>
    </row>
    <row r="26" spans="2:19" ht="12.75">
      <c r="B26" s="6"/>
      <c r="C26" s="6"/>
      <c r="D26" s="30"/>
      <c r="E26" s="34"/>
      <c r="F26" s="6"/>
      <c r="G26">
        <f t="shared" si="5"/>
        <v>18</v>
      </c>
      <c r="H26" s="23">
        <f t="shared" si="0"/>
        <v>360</v>
      </c>
      <c r="I26" s="24">
        <f t="shared" si="6"/>
        <v>4.147200000000005</v>
      </c>
      <c r="J26" s="7">
        <f t="shared" si="7"/>
        <v>964.1434216983871</v>
      </c>
      <c r="K26" s="8">
        <f t="shared" si="1"/>
        <v>36</v>
      </c>
      <c r="L26" s="8">
        <f t="shared" si="2"/>
        <v>20</v>
      </c>
      <c r="M26" s="6"/>
      <c r="N26" s="24">
        <f t="shared" si="8"/>
        <v>4.147200000000005</v>
      </c>
      <c r="O26" s="7">
        <f t="shared" si="9"/>
        <v>964.1434216983871</v>
      </c>
      <c r="P26" s="6">
        <f t="shared" si="3"/>
        <v>36</v>
      </c>
      <c r="Q26" s="6">
        <f t="shared" si="4"/>
        <v>20</v>
      </c>
      <c r="R26"/>
      <c r="S26" s="14"/>
    </row>
    <row r="27" spans="2:19" ht="12.75">
      <c r="B27" s="6"/>
      <c r="C27" s="6"/>
      <c r="E27" s="34"/>
      <c r="F27" s="6"/>
      <c r="G27">
        <f t="shared" si="5"/>
        <v>19</v>
      </c>
      <c r="H27" s="23">
        <f t="shared" si="0"/>
        <v>380</v>
      </c>
      <c r="I27" s="24">
        <f t="shared" si="6"/>
        <v>4.620800000000005</v>
      </c>
      <c r="J27" s="7">
        <f t="shared" si="7"/>
        <v>805.139851047361</v>
      </c>
      <c r="K27" s="8">
        <f t="shared" si="1"/>
        <v>36</v>
      </c>
      <c r="L27" s="8">
        <f t="shared" si="2"/>
        <v>20</v>
      </c>
      <c r="M27" s="6"/>
      <c r="N27" s="24">
        <f t="shared" si="8"/>
        <v>4.620800000000005</v>
      </c>
      <c r="O27" s="7">
        <f t="shared" si="9"/>
        <v>805.139851047361</v>
      </c>
      <c r="P27" s="6">
        <f t="shared" si="3"/>
        <v>36</v>
      </c>
      <c r="Q27" s="6">
        <f t="shared" si="4"/>
        <v>20</v>
      </c>
      <c r="R27"/>
      <c r="S27" s="14"/>
    </row>
    <row r="28" spans="1:19" ht="12.75">
      <c r="A28" s="31"/>
      <c r="B28" s="6"/>
      <c r="C28" s="6"/>
      <c r="D28" s="35"/>
      <c r="E28" s="34"/>
      <c r="F28" s="42"/>
      <c r="G28">
        <f t="shared" si="5"/>
        <v>20</v>
      </c>
      <c r="H28" s="23">
        <f t="shared" si="0"/>
        <v>400</v>
      </c>
      <c r="I28" s="24">
        <f t="shared" si="6"/>
        <v>5.120000000000002</v>
      </c>
      <c r="J28" s="7">
        <f t="shared" si="7"/>
        <v>678.6044041487274</v>
      </c>
      <c r="K28" s="8">
        <f t="shared" si="1"/>
        <v>36</v>
      </c>
      <c r="L28" s="8">
        <f t="shared" si="2"/>
        <v>20</v>
      </c>
      <c r="M28" s="6"/>
      <c r="N28" s="24">
        <f t="shared" si="8"/>
        <v>5.120000000000002</v>
      </c>
      <c r="O28" s="7">
        <f t="shared" si="9"/>
        <v>678.6044041487274</v>
      </c>
      <c r="P28" s="6">
        <f t="shared" si="3"/>
        <v>36</v>
      </c>
      <c r="Q28" s="6">
        <f t="shared" si="4"/>
        <v>20</v>
      </c>
      <c r="R28"/>
      <c r="S28" s="14"/>
    </row>
    <row r="29" spans="1:19" ht="12.75">
      <c r="A29" s="31"/>
      <c r="B29" s="6"/>
      <c r="C29" s="6"/>
      <c r="D29" s="7"/>
      <c r="E29" s="7"/>
      <c r="F29" s="42"/>
      <c r="G29">
        <f t="shared" si="5"/>
        <v>21</v>
      </c>
      <c r="H29" s="23">
        <f t="shared" si="0"/>
        <v>420</v>
      </c>
      <c r="I29" s="24">
        <f t="shared" si="6"/>
        <v>5.644800000000004</v>
      </c>
      <c r="J29" s="7">
        <f t="shared" si="7"/>
        <v>576.7474419819296</v>
      </c>
      <c r="K29" s="8">
        <f t="shared" si="1"/>
        <v>36</v>
      </c>
      <c r="L29" s="8">
        <f t="shared" si="2"/>
        <v>20</v>
      </c>
      <c r="M29" s="6"/>
      <c r="N29" s="24">
        <f t="shared" si="8"/>
        <v>5.644800000000004</v>
      </c>
      <c r="O29" s="7">
        <f t="shared" si="9"/>
        <v>576.7474419819296</v>
      </c>
      <c r="P29" s="6">
        <f t="shared" si="3"/>
        <v>36</v>
      </c>
      <c r="Q29" s="6">
        <f t="shared" si="4"/>
        <v>20</v>
      </c>
      <c r="R29"/>
      <c r="S29" s="14"/>
    </row>
    <row r="30" spans="1:19" ht="12.75">
      <c r="A30" s="33"/>
      <c r="C30" s="6"/>
      <c r="D30" s="7"/>
      <c r="E30" s="7"/>
      <c r="F30"/>
      <c r="G30">
        <f t="shared" si="5"/>
        <v>22</v>
      </c>
      <c r="H30" s="23">
        <f t="shared" si="0"/>
        <v>440</v>
      </c>
      <c r="I30" s="24">
        <f t="shared" si="6"/>
        <v>6.195200000000001</v>
      </c>
      <c r="J30" s="7">
        <f t="shared" si="7"/>
        <v>493.90230922789226</v>
      </c>
      <c r="K30" s="8">
        <f t="shared" si="1"/>
        <v>36</v>
      </c>
      <c r="L30" s="8">
        <f t="shared" si="2"/>
        <v>20</v>
      </c>
      <c r="M30" s="6"/>
      <c r="N30" s="24">
        <f t="shared" si="8"/>
        <v>6.195200000000001</v>
      </c>
      <c r="O30" s="7">
        <f t="shared" si="9"/>
        <v>493.90230922789226</v>
      </c>
      <c r="P30" s="6">
        <f t="shared" si="3"/>
        <v>36</v>
      </c>
      <c r="Q30" s="6">
        <f t="shared" si="4"/>
        <v>20</v>
      </c>
      <c r="R30"/>
      <c r="S30" s="14"/>
    </row>
    <row r="31" spans="1:19" ht="12.75">
      <c r="A31" s="33"/>
      <c r="B31" s="42"/>
      <c r="C31" s="6"/>
      <c r="D31" s="34"/>
      <c r="E31" s="34"/>
      <c r="F31"/>
      <c r="G31">
        <f t="shared" si="5"/>
        <v>23</v>
      </c>
      <c r="H31" s="23">
        <f t="shared" si="0"/>
        <v>460</v>
      </c>
      <c r="I31" s="24">
        <f t="shared" si="6"/>
        <v>6.77120000000001</v>
      </c>
      <c r="J31" s="7">
        <f t="shared" si="7"/>
        <v>425.883230177177</v>
      </c>
      <c r="K31" s="8">
        <f t="shared" si="1"/>
        <v>36</v>
      </c>
      <c r="L31" s="8">
        <f t="shared" si="2"/>
        <v>20</v>
      </c>
      <c r="M31" s="6"/>
      <c r="N31" s="24">
        <f t="shared" si="8"/>
        <v>6.77120000000001</v>
      </c>
      <c r="O31" s="7">
        <f t="shared" si="9"/>
        <v>425.883230177177</v>
      </c>
      <c r="P31" s="6">
        <f t="shared" si="3"/>
        <v>36</v>
      </c>
      <c r="Q31" s="6">
        <f t="shared" si="4"/>
        <v>20</v>
      </c>
      <c r="R31"/>
      <c r="S31" s="14"/>
    </row>
    <row r="32" spans="1:19" ht="12.75">
      <c r="A32" s="31"/>
      <c r="F32"/>
      <c r="G32">
        <f t="shared" si="5"/>
        <v>24</v>
      </c>
      <c r="H32" s="23">
        <f t="shared" si="0"/>
        <v>480</v>
      </c>
      <c r="I32" s="24">
        <f t="shared" si="6"/>
        <v>7.372800000000007</v>
      </c>
      <c r="J32" s="7">
        <f t="shared" si="7"/>
        <v>369.55508892436006</v>
      </c>
      <c r="K32" s="8">
        <f t="shared" si="1"/>
        <v>36</v>
      </c>
      <c r="L32" s="8">
        <f t="shared" si="2"/>
        <v>20</v>
      </c>
      <c r="M32" s="6"/>
      <c r="N32" s="24">
        <f t="shared" si="8"/>
        <v>7.372800000000007</v>
      </c>
      <c r="O32" s="7">
        <f t="shared" si="9"/>
        <v>369.55508892436006</v>
      </c>
      <c r="P32" s="6">
        <f t="shared" si="3"/>
        <v>36</v>
      </c>
      <c r="Q32" s="6">
        <f t="shared" si="4"/>
        <v>20</v>
      </c>
      <c r="R32"/>
      <c r="S32" s="14"/>
    </row>
    <row r="33" spans="2:19" ht="12.75">
      <c r="B33"/>
      <c r="C33"/>
      <c r="D33"/>
      <c r="E33"/>
      <c r="F33"/>
      <c r="G33">
        <f t="shared" si="5"/>
        <v>25</v>
      </c>
      <c r="H33" s="23">
        <f t="shared" si="0"/>
        <v>500</v>
      </c>
      <c r="I33" s="24">
        <f t="shared" si="6"/>
        <v>8.000000000000002</v>
      </c>
      <c r="J33" s="7">
        <f t="shared" si="7"/>
        <v>322.53978877308793</v>
      </c>
      <c r="K33" s="8">
        <f t="shared" si="1"/>
        <v>36</v>
      </c>
      <c r="L33" s="8">
        <f t="shared" si="2"/>
        <v>20</v>
      </c>
      <c r="M33" s="6"/>
      <c r="N33" s="24">
        <f t="shared" si="8"/>
        <v>8.000000000000002</v>
      </c>
      <c r="O33" s="7">
        <f t="shared" si="9"/>
        <v>322.53978877308793</v>
      </c>
      <c r="P33" s="6">
        <f t="shared" si="3"/>
        <v>36</v>
      </c>
      <c r="Q33" s="6">
        <f t="shared" si="4"/>
        <v>20</v>
      </c>
      <c r="R33"/>
      <c r="S33" s="14"/>
    </row>
    <row r="34" spans="2:19" ht="12.75">
      <c r="B34"/>
      <c r="C34"/>
      <c r="D34"/>
      <c r="E34"/>
      <c r="F34"/>
      <c r="G34">
        <f t="shared" si="5"/>
        <v>26</v>
      </c>
      <c r="H34" s="23">
        <f t="shared" si="0"/>
        <v>520</v>
      </c>
      <c r="I34" s="24">
        <f t="shared" si="6"/>
        <v>8.652800000000006</v>
      </c>
      <c r="J34" s="7">
        <f t="shared" si="7"/>
        <v>283.01242298556707</v>
      </c>
      <c r="K34" s="8">
        <f t="shared" si="1"/>
        <v>36</v>
      </c>
      <c r="L34" s="8">
        <f t="shared" si="2"/>
        <v>20</v>
      </c>
      <c r="M34" s="6"/>
      <c r="N34" s="24">
        <f t="shared" si="8"/>
        <v>8.652800000000006</v>
      </c>
      <c r="O34" s="7">
        <f t="shared" si="9"/>
        <v>283.01242298556707</v>
      </c>
      <c r="P34" s="6">
        <f t="shared" si="3"/>
        <v>36</v>
      </c>
      <c r="Q34" s="6">
        <f t="shared" si="4"/>
        <v>20</v>
      </c>
      <c r="R34"/>
      <c r="S34" s="14"/>
    </row>
    <row r="35" spans="2:19" ht="12.75">
      <c r="B35"/>
      <c r="C35"/>
      <c r="D35"/>
      <c r="E35"/>
      <c r="F35"/>
      <c r="G35">
        <f t="shared" si="5"/>
        <v>27</v>
      </c>
      <c r="H35" s="23">
        <f t="shared" si="0"/>
        <v>540</v>
      </c>
      <c r="I35" s="24">
        <f t="shared" si="6"/>
        <v>9.331200000000015</v>
      </c>
      <c r="J35" s="7">
        <f t="shared" si="7"/>
        <v>249.55758767399158</v>
      </c>
      <c r="K35" s="8">
        <f t="shared" si="1"/>
        <v>36</v>
      </c>
      <c r="L35" s="8">
        <f t="shared" si="2"/>
        <v>20</v>
      </c>
      <c r="M35" s="6"/>
      <c r="N35" s="24">
        <f t="shared" si="8"/>
        <v>9.331200000000015</v>
      </c>
      <c r="O35" s="7">
        <f t="shared" si="9"/>
        <v>249.55758767399158</v>
      </c>
      <c r="P35" s="6">
        <f t="shared" si="3"/>
        <v>36</v>
      </c>
      <c r="Q35" s="6">
        <f t="shared" si="4"/>
        <v>20</v>
      </c>
      <c r="R35"/>
      <c r="S35" s="14"/>
    </row>
    <row r="36" spans="2:19" ht="12.75">
      <c r="B36"/>
      <c r="C36"/>
      <c r="D36"/>
      <c r="E36"/>
      <c r="F36"/>
      <c r="G36">
        <f t="shared" si="5"/>
        <v>28</v>
      </c>
      <c r="H36" s="23">
        <f t="shared" si="0"/>
        <v>560</v>
      </c>
      <c r="I36" s="24">
        <f t="shared" si="6"/>
        <v>10.035199999999985</v>
      </c>
      <c r="J36" s="7">
        <f t="shared" si="7"/>
        <v>221.06664569994436</v>
      </c>
      <c r="K36" s="8">
        <f t="shared" si="1"/>
        <v>36</v>
      </c>
      <c r="L36" s="8">
        <f t="shared" si="2"/>
        <v>20</v>
      </c>
      <c r="M36" s="6"/>
      <c r="N36" s="24">
        <f t="shared" si="8"/>
        <v>10.035199999999985</v>
      </c>
      <c r="O36" s="7">
        <f t="shared" si="9"/>
        <v>221.06664569994436</v>
      </c>
      <c r="P36" s="6">
        <f t="shared" si="3"/>
        <v>36</v>
      </c>
      <c r="Q36" s="6">
        <f t="shared" si="4"/>
        <v>20</v>
      </c>
      <c r="R36"/>
      <c r="S36" s="14"/>
    </row>
    <row r="37" spans="2:19" ht="12.75">
      <c r="B37"/>
      <c r="C37"/>
      <c r="D37"/>
      <c r="E37"/>
      <c r="F37"/>
      <c r="G37">
        <f t="shared" si="5"/>
        <v>29</v>
      </c>
      <c r="H37" s="23">
        <f t="shared" si="0"/>
        <v>580</v>
      </c>
      <c r="I37" s="24">
        <f t="shared" si="6"/>
        <v>10.764800000000028</v>
      </c>
      <c r="J37" s="7">
        <f t="shared" si="7"/>
        <v>196.66330488332778</v>
      </c>
      <c r="K37" s="8">
        <f t="shared" si="1"/>
        <v>36</v>
      </c>
      <c r="L37" s="8">
        <f t="shared" si="2"/>
        <v>20</v>
      </c>
      <c r="M37" s="6"/>
      <c r="N37" s="24">
        <f t="shared" si="8"/>
        <v>10.764800000000028</v>
      </c>
      <c r="O37" s="7">
        <f t="shared" si="9"/>
        <v>196.66330488332778</v>
      </c>
      <c r="P37" s="6">
        <f t="shared" si="3"/>
        <v>36</v>
      </c>
      <c r="Q37" s="6">
        <f t="shared" si="4"/>
        <v>20</v>
      </c>
      <c r="R37"/>
      <c r="S37" s="14"/>
    </row>
    <row r="38" spans="2:19" ht="12.75">
      <c r="B38"/>
      <c r="C38"/>
      <c r="D38"/>
      <c r="E38"/>
      <c r="F38"/>
      <c r="G38">
        <f t="shared" si="5"/>
        <v>30</v>
      </c>
      <c r="H38" s="23">
        <f t="shared" si="0"/>
        <v>600</v>
      </c>
      <c r="I38" s="24">
        <f t="shared" si="6"/>
        <v>11.519999999999989</v>
      </c>
      <c r="J38" s="7">
        <f t="shared" si="7"/>
        <v>175.64905207358336</v>
      </c>
      <c r="K38" s="8">
        <f t="shared" si="1"/>
        <v>36</v>
      </c>
      <c r="L38" s="8">
        <f t="shared" si="2"/>
        <v>20</v>
      </c>
      <c r="M38" s="6"/>
      <c r="N38" s="24">
        <f t="shared" si="8"/>
        <v>11.519999999999989</v>
      </c>
      <c r="O38" s="7">
        <f t="shared" si="9"/>
        <v>175.64905207358336</v>
      </c>
      <c r="P38" s="6">
        <f t="shared" si="3"/>
        <v>36</v>
      </c>
      <c r="Q38" s="6">
        <f t="shared" si="4"/>
        <v>20</v>
      </c>
      <c r="R38"/>
      <c r="S38" s="14"/>
    </row>
    <row r="39" spans="2:19" ht="12.75">
      <c r="B39"/>
      <c r="C39"/>
      <c r="D39"/>
      <c r="E39"/>
      <c r="F39"/>
      <c r="G39">
        <f t="shared" si="5"/>
        <v>31</v>
      </c>
      <c r="H39" s="23">
        <f t="shared" si="0"/>
        <v>620</v>
      </c>
      <c r="I39" s="24">
        <f t="shared" si="6"/>
        <v>12.300799999999997</v>
      </c>
      <c r="J39" s="7">
        <f t="shared" si="7"/>
        <v>157.46269492787852</v>
      </c>
      <c r="K39" s="8">
        <f t="shared" si="1"/>
        <v>36</v>
      </c>
      <c r="L39" s="8">
        <f t="shared" si="2"/>
        <v>20</v>
      </c>
      <c r="M39" s="6"/>
      <c r="N39" s="24">
        <f t="shared" si="8"/>
        <v>12.300799999999997</v>
      </c>
      <c r="O39" s="7">
        <f t="shared" si="9"/>
        <v>157.46269492787852</v>
      </c>
      <c r="P39" s="6">
        <f t="shared" si="3"/>
        <v>36</v>
      </c>
      <c r="Q39" s="6">
        <f t="shared" si="4"/>
        <v>20</v>
      </c>
      <c r="R39"/>
      <c r="S39" s="14"/>
    </row>
    <row r="40" spans="2:19" ht="12.75">
      <c r="B40"/>
      <c r="C40"/>
      <c r="D40"/>
      <c r="E40"/>
      <c r="F40"/>
      <c r="G40">
        <f t="shared" si="5"/>
        <v>32</v>
      </c>
      <c r="H40" s="23">
        <f t="shared" si="0"/>
        <v>640</v>
      </c>
      <c r="I40" s="24">
        <f t="shared" si="6"/>
        <v>13.107199999999985</v>
      </c>
      <c r="J40" s="7">
        <f t="shared" si="7"/>
        <v>141.6500498539056</v>
      </c>
      <c r="K40" s="8">
        <f t="shared" si="1"/>
        <v>36</v>
      </c>
      <c r="L40" s="8">
        <f t="shared" si="2"/>
        <v>20</v>
      </c>
      <c r="M40" s="6"/>
      <c r="N40" s="24">
        <f t="shared" si="8"/>
        <v>13.107199999999985</v>
      </c>
      <c r="O40" s="7">
        <f t="shared" si="9"/>
        <v>141.6500498539056</v>
      </c>
      <c r="P40" s="6">
        <f t="shared" si="3"/>
        <v>36</v>
      </c>
      <c r="Q40" s="6">
        <f t="shared" si="4"/>
        <v>20</v>
      </c>
      <c r="R40"/>
      <c r="S40" s="14"/>
    </row>
    <row r="41" spans="2:19" ht="12.75">
      <c r="B41"/>
      <c r="C41"/>
      <c r="D41"/>
      <c r="E41"/>
      <c r="F41"/>
      <c r="G41">
        <f t="shared" si="5"/>
        <v>33</v>
      </c>
      <c r="H41" s="23">
        <f aca="true" t="shared" si="10" ref="H41:H72">G41*S$9</f>
        <v>660</v>
      </c>
      <c r="I41" s="24">
        <f t="shared" si="6"/>
        <v>13.939200000000008</v>
      </c>
      <c r="J41" s="7">
        <f t="shared" si="7"/>
        <v>127.84101002359492</v>
      </c>
      <c r="K41" s="8">
        <f aca="true" t="shared" si="11" ref="K41:K72">IPP_mz</f>
        <v>36</v>
      </c>
      <c r="L41" s="8">
        <f aca="true" t="shared" si="12" ref="L41:L72">EPP_mz</f>
        <v>20</v>
      </c>
      <c r="M41" s="6"/>
      <c r="N41" s="24">
        <f t="shared" si="8"/>
        <v>13.939200000000008</v>
      </c>
      <c r="O41" s="7">
        <f t="shared" si="9"/>
        <v>127.84101002359492</v>
      </c>
      <c r="P41" s="6">
        <f aca="true" t="shared" si="13" ref="P41:P72">IPP_mz_after</f>
        <v>36</v>
      </c>
      <c r="Q41" s="6">
        <f aca="true" t="shared" si="14" ref="Q41:Q72">EPP_mz_after</f>
        <v>20</v>
      </c>
      <c r="R41"/>
      <c r="S41" s="14"/>
    </row>
    <row r="42" spans="2:19" ht="12.75">
      <c r="B42"/>
      <c r="C42"/>
      <c r="D42"/>
      <c r="E42"/>
      <c r="F42"/>
      <c r="G42">
        <f aca="true" t="shared" si="15" ref="G42:G73">1+G41</f>
        <v>34</v>
      </c>
      <c r="H42" s="23">
        <f t="shared" si="10"/>
        <v>680</v>
      </c>
      <c r="I42" s="24">
        <f t="shared" si="6"/>
        <v>14.796800000000001</v>
      </c>
      <c r="J42" s="7">
        <f t="shared" si="7"/>
        <v>115.73203844524508</v>
      </c>
      <c r="K42" s="8">
        <f t="shared" si="11"/>
        <v>36</v>
      </c>
      <c r="L42" s="8">
        <f t="shared" si="12"/>
        <v>20</v>
      </c>
      <c r="M42" s="6"/>
      <c r="N42" s="24">
        <f t="shared" si="8"/>
        <v>14.796800000000001</v>
      </c>
      <c r="O42" s="7">
        <f t="shared" si="9"/>
        <v>115.73203844524508</v>
      </c>
      <c r="P42" s="6">
        <f t="shared" si="13"/>
        <v>36</v>
      </c>
      <c r="Q42" s="6">
        <f t="shared" si="14"/>
        <v>20</v>
      </c>
      <c r="R42"/>
      <c r="S42" s="14"/>
    </row>
    <row r="43" spans="2:19" ht="12.75">
      <c r="B43"/>
      <c r="C43"/>
      <c r="D43"/>
      <c r="E43"/>
      <c r="F43"/>
      <c r="G43">
        <f t="shared" si="15"/>
        <v>35</v>
      </c>
      <c r="H43" s="23">
        <f t="shared" si="10"/>
        <v>700</v>
      </c>
      <c r="I43" s="24">
        <f t="shared" si="6"/>
        <v>15.680000000000005</v>
      </c>
      <c r="J43" s="7">
        <f t="shared" si="7"/>
        <v>105.07268855450566</v>
      </c>
      <c r="K43" s="8">
        <f t="shared" si="11"/>
        <v>36</v>
      </c>
      <c r="L43" s="8">
        <f t="shared" si="12"/>
        <v>20</v>
      </c>
      <c r="M43" s="6"/>
      <c r="N43" s="24">
        <f t="shared" si="8"/>
        <v>15.680000000000005</v>
      </c>
      <c r="O43" s="7">
        <f t="shared" si="9"/>
        <v>105.07268855450566</v>
      </c>
      <c r="P43" s="6">
        <f t="shared" si="13"/>
        <v>36</v>
      </c>
      <c r="Q43" s="6">
        <f t="shared" si="14"/>
        <v>20</v>
      </c>
      <c r="R43"/>
      <c r="S43" s="14"/>
    </row>
    <row r="44" spans="2:19" ht="12.75">
      <c r="B44"/>
      <c r="C44"/>
      <c r="D44"/>
      <c r="E44"/>
      <c r="F44"/>
      <c r="G44">
        <f t="shared" si="15"/>
        <v>36</v>
      </c>
      <c r="H44" s="23">
        <f t="shared" si="10"/>
        <v>720</v>
      </c>
      <c r="I44" s="24">
        <f t="shared" si="6"/>
        <v>16.588799999999992</v>
      </c>
      <c r="J44" s="7">
        <f t="shared" si="7"/>
        <v>95.65514261576486</v>
      </c>
      <c r="K44" s="8">
        <f t="shared" si="11"/>
        <v>36</v>
      </c>
      <c r="L44" s="8">
        <f t="shared" si="12"/>
        <v>20</v>
      </c>
      <c r="M44" s="6"/>
      <c r="N44" s="24">
        <f t="shared" si="8"/>
        <v>16.588799999999992</v>
      </c>
      <c r="O44" s="7">
        <f t="shared" si="9"/>
        <v>95.65514261576486</v>
      </c>
      <c r="P44" s="6">
        <f t="shared" si="13"/>
        <v>36</v>
      </c>
      <c r="Q44" s="6">
        <f t="shared" si="14"/>
        <v>20</v>
      </c>
      <c r="R44"/>
      <c r="S44" s="14"/>
    </row>
    <row r="45" spans="2:19" ht="12.75">
      <c r="B45"/>
      <c r="C45"/>
      <c r="D45"/>
      <c r="E45"/>
      <c r="F45"/>
      <c r="G45">
        <f t="shared" si="15"/>
        <v>37</v>
      </c>
      <c r="H45" s="23">
        <f t="shared" si="10"/>
        <v>740</v>
      </c>
      <c r="I45" s="24">
        <f t="shared" si="6"/>
        <v>17.523200000000006</v>
      </c>
      <c r="J45" s="7">
        <f t="shared" si="7"/>
        <v>87.30603111644042</v>
      </c>
      <c r="K45" s="8">
        <f t="shared" si="11"/>
        <v>36</v>
      </c>
      <c r="L45" s="8">
        <f t="shared" si="12"/>
        <v>20</v>
      </c>
      <c r="M45" s="6"/>
      <c r="N45" s="24">
        <f t="shared" si="8"/>
        <v>17.523200000000006</v>
      </c>
      <c r="O45" s="7">
        <f t="shared" si="9"/>
        <v>87.30603111644042</v>
      </c>
      <c r="P45" s="6">
        <f t="shared" si="13"/>
        <v>36</v>
      </c>
      <c r="Q45" s="6">
        <f t="shared" si="14"/>
        <v>20</v>
      </c>
      <c r="R45"/>
      <c r="S45" s="14"/>
    </row>
    <row r="46" spans="2:19" ht="12.75">
      <c r="B46"/>
      <c r="C46"/>
      <c r="D46"/>
      <c r="E46"/>
      <c r="F46"/>
      <c r="G46">
        <f t="shared" si="15"/>
        <v>38</v>
      </c>
      <c r="H46" s="23">
        <f t="shared" si="10"/>
        <v>760</v>
      </c>
      <c r="I46" s="24">
        <f t="shared" si="6"/>
        <v>18.483200000000025</v>
      </c>
      <c r="J46" s="7">
        <f t="shared" si="7"/>
        <v>79.87999040838127</v>
      </c>
      <c r="K46" s="8">
        <f t="shared" si="11"/>
        <v>36</v>
      </c>
      <c r="L46" s="8">
        <f t="shared" si="12"/>
        <v>20</v>
      </c>
      <c r="M46" s="6"/>
      <c r="N46" s="24">
        <f t="shared" si="8"/>
        <v>18.483200000000025</v>
      </c>
      <c r="O46" s="7">
        <f t="shared" si="9"/>
        <v>79.87999040838127</v>
      </c>
      <c r="P46" s="6">
        <f t="shared" si="13"/>
        <v>36</v>
      </c>
      <c r="Q46" s="6">
        <f t="shared" si="14"/>
        <v>20</v>
      </c>
      <c r="R46"/>
      <c r="S46" s="14"/>
    </row>
    <row r="47" spans="1:19" ht="12.75">
      <c r="A47" s="46"/>
      <c r="B47"/>
      <c r="C47"/>
      <c r="D47"/>
      <c r="E47"/>
      <c r="F47"/>
      <c r="G47">
        <f t="shared" si="15"/>
        <v>39</v>
      </c>
      <c r="H47" s="23">
        <f t="shared" si="10"/>
        <v>780</v>
      </c>
      <c r="I47" s="24">
        <f t="shared" si="6"/>
        <v>19.46880000000006</v>
      </c>
      <c r="J47" s="7">
        <f t="shared" si="7"/>
        <v>73.25455525863035</v>
      </c>
      <c r="K47" s="8">
        <f t="shared" si="11"/>
        <v>36</v>
      </c>
      <c r="L47" s="8">
        <f t="shared" si="12"/>
        <v>20</v>
      </c>
      <c r="M47" s="6"/>
      <c r="N47" s="24">
        <f t="shared" si="8"/>
        <v>19.46880000000006</v>
      </c>
      <c r="O47" s="7">
        <f t="shared" si="9"/>
        <v>73.25455525863035</v>
      </c>
      <c r="P47" s="6">
        <f t="shared" si="13"/>
        <v>36</v>
      </c>
      <c r="Q47" s="6">
        <f t="shared" si="14"/>
        <v>20</v>
      </c>
      <c r="R47"/>
      <c r="S47" s="14"/>
    </row>
    <row r="48" spans="2:19" ht="12.75">
      <c r="B48"/>
      <c r="C48"/>
      <c r="D48"/>
      <c r="E48"/>
      <c r="F48"/>
      <c r="G48">
        <f t="shared" si="15"/>
        <v>40</v>
      </c>
      <c r="H48" s="23">
        <f t="shared" si="10"/>
        <v>800</v>
      </c>
      <c r="I48" s="24">
        <f t="shared" si="6"/>
        <v>20.48000000000001</v>
      </c>
      <c r="J48" s="7">
        <f t="shared" si="7"/>
        <v>67.32608406349638</v>
      </c>
      <c r="K48" s="8">
        <f t="shared" si="11"/>
        <v>36</v>
      </c>
      <c r="L48" s="8">
        <f t="shared" si="12"/>
        <v>20</v>
      </c>
      <c r="M48" s="6"/>
      <c r="N48" s="24">
        <f t="shared" si="8"/>
        <v>20.48000000000001</v>
      </c>
      <c r="O48" s="7">
        <f t="shared" si="9"/>
        <v>67.32608406349638</v>
      </c>
      <c r="P48" s="6">
        <f t="shared" si="13"/>
        <v>36</v>
      </c>
      <c r="Q48" s="6">
        <f t="shared" si="14"/>
        <v>20</v>
      </c>
      <c r="R48"/>
      <c r="S48" s="14"/>
    </row>
    <row r="49" spans="2:19" ht="12.75">
      <c r="B49"/>
      <c r="C49"/>
      <c r="D49"/>
      <c r="E49"/>
      <c r="F49"/>
      <c r="G49">
        <f t="shared" si="15"/>
        <v>41</v>
      </c>
      <c r="H49" s="23">
        <f t="shared" si="10"/>
        <v>820</v>
      </c>
      <c r="I49" s="24">
        <f t="shared" si="6"/>
        <v>21.5168</v>
      </c>
      <c r="J49" s="7">
        <f t="shared" si="7"/>
        <v>62.00648844320561</v>
      </c>
      <c r="K49" s="8">
        <f t="shared" si="11"/>
        <v>36</v>
      </c>
      <c r="L49" s="8">
        <f t="shared" si="12"/>
        <v>20</v>
      </c>
      <c r="M49" s="6"/>
      <c r="N49" s="24">
        <f t="shared" si="8"/>
        <v>21.5168</v>
      </c>
      <c r="O49" s="7">
        <f t="shared" si="9"/>
        <v>62.00648844320561</v>
      </c>
      <c r="P49" s="6">
        <f t="shared" si="13"/>
        <v>36</v>
      </c>
      <c r="Q49" s="6">
        <f t="shared" si="14"/>
        <v>20</v>
      </c>
      <c r="R49"/>
      <c r="S49" s="14"/>
    </row>
    <row r="50" spans="2:19" ht="12.75">
      <c r="B50"/>
      <c r="C50"/>
      <c r="D50"/>
      <c r="E50"/>
      <c r="F50"/>
      <c r="G50">
        <f t="shared" si="15"/>
        <v>42</v>
      </c>
      <c r="H50" s="23">
        <f t="shared" si="10"/>
        <v>840</v>
      </c>
      <c r="I50" s="24">
        <f aca="true" t="shared" si="16" ref="I50:I81">EXP((LN($H50)-SAalpha_mz-Sbeta_mz_cf*LN(P_cf_0)-LN(Yield_mz))/Sbeta_mz)</f>
        <v>22.579200000000018</v>
      </c>
      <c r="J50" s="7">
        <f aca="true" t="shared" si="17" ref="J50:J81">EXP((LN($H50)-Dalpha_mz-Dgamma*LN(Y))/Dbeta_mz)</f>
        <v>57.2205935076302</v>
      </c>
      <c r="K50" s="8">
        <f t="shared" si="11"/>
        <v>36</v>
      </c>
      <c r="L50" s="8">
        <f t="shared" si="12"/>
        <v>20</v>
      </c>
      <c r="M50" s="6"/>
      <c r="N50" s="24">
        <f aca="true" t="shared" si="18" ref="N50:N81">EXP((LN($H50)-SAalpha_mz-Sbeta_mz_cf*LN(P_cf_1)-LN(Yield_mz1))/Sbeta_mz)</f>
        <v>22.579200000000018</v>
      </c>
      <c r="O50" s="7">
        <f aca="true" t="shared" si="19" ref="O50:O81">EXP((LN($H50)-Dalpha_mz-Dgamma*LN(Y*(1+PctChIncome)))/Dbeta_mz)</f>
        <v>57.2205935076302</v>
      </c>
      <c r="P50" s="6">
        <f t="shared" si="13"/>
        <v>36</v>
      </c>
      <c r="Q50" s="6">
        <f t="shared" si="14"/>
        <v>20</v>
      </c>
      <c r="R50"/>
      <c r="S50" s="14"/>
    </row>
    <row r="51" spans="2:19" ht="12.75">
      <c r="B51"/>
      <c r="C51"/>
      <c r="D51"/>
      <c r="E51"/>
      <c r="F51"/>
      <c r="G51">
        <f t="shared" si="15"/>
        <v>43</v>
      </c>
      <c r="H51" s="23">
        <f t="shared" si="10"/>
        <v>860</v>
      </c>
      <c r="I51" s="24">
        <f t="shared" si="16"/>
        <v>23.667200000000012</v>
      </c>
      <c r="J51" s="7">
        <f t="shared" si="17"/>
        <v>52.903995672945584</v>
      </c>
      <c r="K51" s="8">
        <f t="shared" si="11"/>
        <v>36</v>
      </c>
      <c r="L51" s="8">
        <f t="shared" si="12"/>
        <v>20</v>
      </c>
      <c r="M51" s="6"/>
      <c r="N51" s="24">
        <f t="shared" si="18"/>
        <v>23.667200000000012</v>
      </c>
      <c r="O51" s="7">
        <f t="shared" si="19"/>
        <v>52.903995672945584</v>
      </c>
      <c r="P51" s="6">
        <f t="shared" si="13"/>
        <v>36</v>
      </c>
      <c r="Q51" s="6">
        <f t="shared" si="14"/>
        <v>20</v>
      </c>
      <c r="R51"/>
      <c r="S51" s="14"/>
    </row>
    <row r="52" spans="2:19" ht="12.75">
      <c r="B52"/>
      <c r="C52"/>
      <c r="D52"/>
      <c r="E52"/>
      <c r="F52"/>
      <c r="G52">
        <f t="shared" si="15"/>
        <v>44</v>
      </c>
      <c r="H52" s="23">
        <f t="shared" si="10"/>
        <v>880</v>
      </c>
      <c r="I52" s="24">
        <f t="shared" si="16"/>
        <v>24.780799999999964</v>
      </c>
      <c r="J52" s="7">
        <f t="shared" si="17"/>
        <v>49.00131532736742</v>
      </c>
      <c r="K52" s="8">
        <f t="shared" si="11"/>
        <v>36</v>
      </c>
      <c r="L52" s="8">
        <f t="shared" si="12"/>
        <v>20</v>
      </c>
      <c r="M52" s="6"/>
      <c r="N52" s="24">
        <f t="shared" si="18"/>
        <v>24.780799999999964</v>
      </c>
      <c r="O52" s="7">
        <f t="shared" si="19"/>
        <v>49.00131532736742</v>
      </c>
      <c r="P52" s="6">
        <f t="shared" si="13"/>
        <v>36</v>
      </c>
      <c r="Q52" s="6">
        <f t="shared" si="14"/>
        <v>20</v>
      </c>
      <c r="R52"/>
      <c r="S52" s="14"/>
    </row>
    <row r="53" spans="2:19" ht="12.75">
      <c r="B53"/>
      <c r="C53"/>
      <c r="D53"/>
      <c r="E53"/>
      <c r="F53"/>
      <c r="G53">
        <f t="shared" si="15"/>
        <v>45</v>
      </c>
      <c r="H53" s="23">
        <f t="shared" si="10"/>
        <v>900</v>
      </c>
      <c r="I53" s="24">
        <f t="shared" si="16"/>
        <v>25.920000000000034</v>
      </c>
      <c r="J53" s="7">
        <f t="shared" si="17"/>
        <v>45.464764604720344</v>
      </c>
      <c r="K53" s="8">
        <f t="shared" si="11"/>
        <v>36</v>
      </c>
      <c r="L53" s="8">
        <f t="shared" si="12"/>
        <v>20</v>
      </c>
      <c r="M53" s="6"/>
      <c r="N53" s="24">
        <f t="shared" si="18"/>
        <v>25.920000000000034</v>
      </c>
      <c r="O53" s="7">
        <f t="shared" si="19"/>
        <v>45.464764604720344</v>
      </c>
      <c r="P53" s="6">
        <f t="shared" si="13"/>
        <v>36</v>
      </c>
      <c r="Q53" s="6">
        <f t="shared" si="14"/>
        <v>20</v>
      </c>
      <c r="R53"/>
      <c r="S53" s="14"/>
    </row>
    <row r="54" spans="2:19" ht="12.75">
      <c r="B54"/>
      <c r="C54"/>
      <c r="D54"/>
      <c r="E54"/>
      <c r="F54"/>
      <c r="G54">
        <f t="shared" si="15"/>
        <v>46</v>
      </c>
      <c r="H54" s="23">
        <f t="shared" si="10"/>
        <v>920</v>
      </c>
      <c r="I54" s="24">
        <f t="shared" si="16"/>
        <v>27.084800000000044</v>
      </c>
      <c r="J54" s="7">
        <f t="shared" si="17"/>
        <v>42.2529679749291</v>
      </c>
      <c r="K54" s="8">
        <f t="shared" si="11"/>
        <v>36</v>
      </c>
      <c r="L54" s="8">
        <f t="shared" si="12"/>
        <v>20</v>
      </c>
      <c r="M54" s="6"/>
      <c r="N54" s="24">
        <f t="shared" si="18"/>
        <v>27.084800000000044</v>
      </c>
      <c r="O54" s="7">
        <f t="shared" si="19"/>
        <v>42.2529679749291</v>
      </c>
      <c r="P54" s="6">
        <f t="shared" si="13"/>
        <v>36</v>
      </c>
      <c r="Q54" s="6">
        <f t="shared" si="14"/>
        <v>20</v>
      </c>
      <c r="R54"/>
      <c r="S54" s="14"/>
    </row>
    <row r="55" spans="2:19" ht="12.75">
      <c r="B55"/>
      <c r="C55"/>
      <c r="D55"/>
      <c r="E55"/>
      <c r="F55"/>
      <c r="G55">
        <f t="shared" si="15"/>
        <v>47</v>
      </c>
      <c r="H55" s="23">
        <f t="shared" si="10"/>
        <v>940</v>
      </c>
      <c r="I55" s="24">
        <f t="shared" si="16"/>
        <v>28.275200000000083</v>
      </c>
      <c r="J55" s="7">
        <f t="shared" si="17"/>
        <v>39.329986709725304</v>
      </c>
      <c r="K55" s="8">
        <f t="shared" si="11"/>
        <v>36</v>
      </c>
      <c r="L55" s="8">
        <f t="shared" si="12"/>
        <v>20</v>
      </c>
      <c r="M55" s="6"/>
      <c r="N55" s="24">
        <f t="shared" si="18"/>
        <v>28.275200000000083</v>
      </c>
      <c r="O55" s="7">
        <f t="shared" si="19"/>
        <v>39.329986709725304</v>
      </c>
      <c r="P55" s="6">
        <f t="shared" si="13"/>
        <v>36</v>
      </c>
      <c r="Q55" s="6">
        <f t="shared" si="14"/>
        <v>20</v>
      </c>
      <c r="R55"/>
      <c r="S55" s="14"/>
    </row>
    <row r="56" spans="2:19" ht="12.75">
      <c r="B56"/>
      <c r="C56"/>
      <c r="D56"/>
      <c r="E56"/>
      <c r="F56"/>
      <c r="G56">
        <f t="shared" si="15"/>
        <v>48</v>
      </c>
      <c r="H56" s="23">
        <f t="shared" si="10"/>
        <v>960</v>
      </c>
      <c r="I56" s="24">
        <f t="shared" si="16"/>
        <v>29.49120000000003</v>
      </c>
      <c r="J56" s="7">
        <f t="shared" si="17"/>
        <v>36.66450855742065</v>
      </c>
      <c r="K56" s="8">
        <f t="shared" si="11"/>
        <v>36</v>
      </c>
      <c r="L56" s="8">
        <f t="shared" si="12"/>
        <v>20</v>
      </c>
      <c r="M56" s="6"/>
      <c r="N56" s="24">
        <f t="shared" si="18"/>
        <v>29.49120000000003</v>
      </c>
      <c r="O56" s="7">
        <f t="shared" si="19"/>
        <v>36.66450855742065</v>
      </c>
      <c r="P56" s="6">
        <f t="shared" si="13"/>
        <v>36</v>
      </c>
      <c r="Q56" s="6">
        <f t="shared" si="14"/>
        <v>20</v>
      </c>
      <c r="R56"/>
      <c r="S56" s="14"/>
    </row>
    <row r="57" spans="2:19" ht="12.75">
      <c r="B57"/>
      <c r="C57"/>
      <c r="D57"/>
      <c r="E57"/>
      <c r="F57"/>
      <c r="G57">
        <f t="shared" si="15"/>
        <v>49</v>
      </c>
      <c r="H57" s="23">
        <f t="shared" si="10"/>
        <v>980</v>
      </c>
      <c r="I57" s="24">
        <f t="shared" si="16"/>
        <v>30.732800000000065</v>
      </c>
      <c r="J57" s="7">
        <f t="shared" si="17"/>
        <v>34.229171917264296</v>
      </c>
      <c r="K57" s="8">
        <f t="shared" si="11"/>
        <v>36</v>
      </c>
      <c r="L57" s="8">
        <f t="shared" si="12"/>
        <v>20</v>
      </c>
      <c r="M57" s="6"/>
      <c r="N57" s="24">
        <f t="shared" si="18"/>
        <v>30.732800000000065</v>
      </c>
      <c r="O57" s="7">
        <f t="shared" si="19"/>
        <v>34.229171917264296</v>
      </c>
      <c r="P57" s="6">
        <f t="shared" si="13"/>
        <v>36</v>
      </c>
      <c r="Q57" s="6">
        <f t="shared" si="14"/>
        <v>20</v>
      </c>
      <c r="R57"/>
      <c r="S57" s="14"/>
    </row>
    <row r="58" spans="2:19" ht="12.75">
      <c r="B58"/>
      <c r="C58"/>
      <c r="D58"/>
      <c r="E58"/>
      <c r="F58"/>
      <c r="G58">
        <f t="shared" si="15"/>
        <v>50</v>
      </c>
      <c r="H58" s="23">
        <f t="shared" si="10"/>
        <v>1000</v>
      </c>
      <c r="I58" s="24">
        <f t="shared" si="16"/>
        <v>32.00000000000007</v>
      </c>
      <c r="J58" s="7">
        <f t="shared" si="17"/>
        <v>32.000000000000014</v>
      </c>
      <c r="K58" s="8">
        <f t="shared" si="11"/>
        <v>36</v>
      </c>
      <c r="L58" s="8">
        <f t="shared" si="12"/>
        <v>20</v>
      </c>
      <c r="M58" s="6"/>
      <c r="N58" s="24">
        <f t="shared" si="18"/>
        <v>32.00000000000007</v>
      </c>
      <c r="O58" s="7">
        <f t="shared" si="19"/>
        <v>32.000000000000014</v>
      </c>
      <c r="P58" s="6">
        <f t="shared" si="13"/>
        <v>36</v>
      </c>
      <c r="Q58" s="6">
        <f t="shared" si="14"/>
        <v>20</v>
      </c>
      <c r="R58"/>
      <c r="S58" s="14"/>
    </row>
    <row r="59" spans="2:19" ht="12.75">
      <c r="B59"/>
      <c r="C59"/>
      <c r="D59"/>
      <c r="E59"/>
      <c r="F59"/>
      <c r="G59">
        <f t="shared" si="15"/>
        <v>51</v>
      </c>
      <c r="H59" s="23">
        <f t="shared" si="10"/>
        <v>1020</v>
      </c>
      <c r="I59" s="24">
        <f t="shared" si="16"/>
        <v>33.29280000000008</v>
      </c>
      <c r="J59" s="7">
        <f t="shared" si="17"/>
        <v>29.955925312555937</v>
      </c>
      <c r="K59" s="8">
        <f t="shared" si="11"/>
        <v>36</v>
      </c>
      <c r="L59" s="8">
        <f t="shared" si="12"/>
        <v>20</v>
      </c>
      <c r="M59" s="6"/>
      <c r="N59" s="24">
        <f t="shared" si="18"/>
        <v>33.29280000000008</v>
      </c>
      <c r="O59" s="7">
        <f t="shared" si="19"/>
        <v>29.955925312555937</v>
      </c>
      <c r="P59" s="6">
        <f t="shared" si="13"/>
        <v>36</v>
      </c>
      <c r="Q59" s="6">
        <f t="shared" si="14"/>
        <v>20</v>
      </c>
      <c r="R59"/>
      <c r="S59" s="14"/>
    </row>
    <row r="60" spans="2:19" ht="12.75">
      <c r="B60"/>
      <c r="C60"/>
      <c r="D60"/>
      <c r="E60"/>
      <c r="F60"/>
      <c r="G60">
        <f t="shared" si="15"/>
        <v>52</v>
      </c>
      <c r="H60" s="23">
        <f t="shared" si="10"/>
        <v>1040</v>
      </c>
      <c r="I60" s="24">
        <f t="shared" si="16"/>
        <v>34.61120000000003</v>
      </c>
      <c r="J60" s="7">
        <f t="shared" si="17"/>
        <v>28.078388622959864</v>
      </c>
      <c r="K60" s="8">
        <f t="shared" si="11"/>
        <v>36</v>
      </c>
      <c r="L60" s="8">
        <f t="shared" si="12"/>
        <v>20</v>
      </c>
      <c r="M60" s="6"/>
      <c r="N60" s="24">
        <f t="shared" si="18"/>
        <v>34.61120000000003</v>
      </c>
      <c r="O60" s="7">
        <f t="shared" si="19"/>
        <v>28.078388622959864</v>
      </c>
      <c r="P60" s="6">
        <f t="shared" si="13"/>
        <v>36</v>
      </c>
      <c r="Q60" s="6">
        <f t="shared" si="14"/>
        <v>20</v>
      </c>
      <c r="R60"/>
      <c r="S60" s="14"/>
    </row>
    <row r="61" spans="2:19" ht="12.75">
      <c r="B61"/>
      <c r="C61"/>
      <c r="D61"/>
      <c r="E61"/>
      <c r="F61"/>
      <c r="G61">
        <f t="shared" si="15"/>
        <v>53</v>
      </c>
      <c r="H61" s="23">
        <f t="shared" si="10"/>
        <v>1060</v>
      </c>
      <c r="I61" s="24">
        <f t="shared" si="16"/>
        <v>35.95519999999997</v>
      </c>
      <c r="J61" s="7">
        <f t="shared" si="17"/>
        <v>26.350999581591996</v>
      </c>
      <c r="K61" s="8">
        <f t="shared" si="11"/>
        <v>36</v>
      </c>
      <c r="L61" s="8">
        <f t="shared" si="12"/>
        <v>20</v>
      </c>
      <c r="M61" s="6"/>
      <c r="N61" s="24">
        <f t="shared" si="18"/>
        <v>35.95519999999997</v>
      </c>
      <c r="O61" s="7">
        <f t="shared" si="19"/>
        <v>26.350999581591996</v>
      </c>
      <c r="P61" s="6">
        <f t="shared" si="13"/>
        <v>36</v>
      </c>
      <c r="Q61" s="6">
        <f t="shared" si="14"/>
        <v>20</v>
      </c>
      <c r="R61"/>
      <c r="S61" s="14"/>
    </row>
    <row r="62" spans="2:19" ht="12.75">
      <c r="B62"/>
      <c r="C62"/>
      <c r="D62"/>
      <c r="E62"/>
      <c r="F62"/>
      <c r="G62">
        <f t="shared" si="15"/>
        <v>54</v>
      </c>
      <c r="H62" s="23">
        <f t="shared" si="10"/>
        <v>1080</v>
      </c>
      <c r="I62" s="24">
        <f t="shared" si="16"/>
        <v>37.32480000000007</v>
      </c>
      <c r="J62" s="7">
        <f t="shared" si="17"/>
        <v>24.759248575021264</v>
      </c>
      <c r="K62" s="8">
        <f t="shared" si="11"/>
        <v>36</v>
      </c>
      <c r="L62" s="8">
        <f t="shared" si="12"/>
        <v>20</v>
      </c>
      <c r="M62" s="6"/>
      <c r="N62" s="24">
        <f t="shared" si="18"/>
        <v>37.32480000000007</v>
      </c>
      <c r="O62" s="7">
        <f t="shared" si="19"/>
        <v>24.759248575021264</v>
      </c>
      <c r="P62" s="6">
        <f t="shared" si="13"/>
        <v>36</v>
      </c>
      <c r="Q62" s="6">
        <f t="shared" si="14"/>
        <v>20</v>
      </c>
      <c r="R62"/>
      <c r="S62" s="14"/>
    </row>
    <row r="63" spans="2:19" ht="12.75">
      <c r="B63"/>
      <c r="C63"/>
      <c r="D63"/>
      <c r="E63"/>
      <c r="F63"/>
      <c r="G63">
        <f t="shared" si="15"/>
        <v>55</v>
      </c>
      <c r="H63" s="23">
        <f t="shared" si="10"/>
        <v>1100</v>
      </c>
      <c r="I63" s="24">
        <f t="shared" si="16"/>
        <v>38.72000000000001</v>
      </c>
      <c r="J63" s="7">
        <f t="shared" si="17"/>
        <v>23.290261304918772</v>
      </c>
      <c r="K63" s="8">
        <f t="shared" si="11"/>
        <v>36</v>
      </c>
      <c r="L63" s="8">
        <f t="shared" si="12"/>
        <v>20</v>
      </c>
      <c r="M63" s="6"/>
      <c r="N63" s="24">
        <f t="shared" si="18"/>
        <v>38.72000000000001</v>
      </c>
      <c r="O63" s="7">
        <f t="shared" si="19"/>
        <v>23.290261304918772</v>
      </c>
      <c r="P63" s="6">
        <f t="shared" si="13"/>
        <v>36</v>
      </c>
      <c r="Q63" s="6">
        <f t="shared" si="14"/>
        <v>20</v>
      </c>
      <c r="R63"/>
      <c r="S63" s="14"/>
    </row>
    <row r="64" spans="2:19" ht="12.75">
      <c r="B64"/>
      <c r="C64"/>
      <c r="D64"/>
      <c r="E64"/>
      <c r="F64"/>
      <c r="G64">
        <f t="shared" si="15"/>
        <v>56</v>
      </c>
      <c r="H64" s="23">
        <f t="shared" si="10"/>
        <v>1120</v>
      </c>
      <c r="I64" s="24">
        <f t="shared" si="16"/>
        <v>40.14080000000009</v>
      </c>
      <c r="J64" s="7">
        <f t="shared" si="17"/>
        <v>21.932589121198287</v>
      </c>
      <c r="K64" s="8">
        <f t="shared" si="11"/>
        <v>36</v>
      </c>
      <c r="L64" s="8">
        <f t="shared" si="12"/>
        <v>20</v>
      </c>
      <c r="M64" s="6"/>
      <c r="N64" s="24">
        <f t="shared" si="18"/>
        <v>40.14080000000009</v>
      </c>
      <c r="O64" s="7">
        <f t="shared" si="19"/>
        <v>21.932589121198287</v>
      </c>
      <c r="P64" s="6">
        <f t="shared" si="13"/>
        <v>36</v>
      </c>
      <c r="Q64" s="6">
        <f t="shared" si="14"/>
        <v>20</v>
      </c>
      <c r="R64"/>
      <c r="S64" s="14"/>
    </row>
    <row r="65" spans="2:19" ht="12.75">
      <c r="B65"/>
      <c r="C65"/>
      <c r="D65"/>
      <c r="E65"/>
      <c r="F65"/>
      <c r="G65">
        <f t="shared" si="15"/>
        <v>57</v>
      </c>
      <c r="H65" s="23">
        <f t="shared" si="10"/>
        <v>1140</v>
      </c>
      <c r="I65" s="24">
        <f t="shared" si="16"/>
        <v>41.587199999999996</v>
      </c>
      <c r="J65" s="7">
        <f t="shared" si="17"/>
        <v>20.676029376025106</v>
      </c>
      <c r="K65" s="8">
        <f t="shared" si="11"/>
        <v>36</v>
      </c>
      <c r="L65" s="8">
        <f t="shared" si="12"/>
        <v>20</v>
      </c>
      <c r="M65" s="6"/>
      <c r="N65" s="24">
        <f t="shared" si="18"/>
        <v>41.587199999999996</v>
      </c>
      <c r="O65" s="7">
        <f t="shared" si="19"/>
        <v>20.676029376025106</v>
      </c>
      <c r="P65" s="6">
        <f t="shared" si="13"/>
        <v>36</v>
      </c>
      <c r="Q65" s="6">
        <f t="shared" si="14"/>
        <v>20</v>
      </c>
      <c r="R65"/>
      <c r="S65" s="14"/>
    </row>
    <row r="66" spans="2:19" ht="12.75">
      <c r="B66"/>
      <c r="C66"/>
      <c r="D66"/>
      <c r="E66"/>
      <c r="F66"/>
      <c r="G66">
        <f t="shared" si="15"/>
        <v>58</v>
      </c>
      <c r="H66" s="23">
        <f t="shared" si="10"/>
        <v>1160</v>
      </c>
      <c r="I66" s="24">
        <f t="shared" si="16"/>
        <v>43.05919999999997</v>
      </c>
      <c r="J66" s="7">
        <f t="shared" si="17"/>
        <v>19.51147106595856</v>
      </c>
      <c r="K66" s="8">
        <f t="shared" si="11"/>
        <v>36</v>
      </c>
      <c r="L66" s="8">
        <f t="shared" si="12"/>
        <v>20</v>
      </c>
      <c r="M66" s="6"/>
      <c r="N66" s="24">
        <f t="shared" si="18"/>
        <v>43.05919999999997</v>
      </c>
      <c r="O66" s="7">
        <f t="shared" si="19"/>
        <v>19.51147106595856</v>
      </c>
      <c r="P66" s="6">
        <f t="shared" si="13"/>
        <v>36</v>
      </c>
      <c r="Q66" s="6">
        <f t="shared" si="14"/>
        <v>20</v>
      </c>
      <c r="R66"/>
      <c r="S66" s="14"/>
    </row>
    <row r="67" spans="2:19" ht="12.75">
      <c r="B67"/>
      <c r="C67"/>
      <c r="D67"/>
      <c r="E67"/>
      <c r="F67"/>
      <c r="G67">
        <f t="shared" si="15"/>
        <v>59</v>
      </c>
      <c r="H67" s="23">
        <f t="shared" si="10"/>
        <v>1180</v>
      </c>
      <c r="I67" s="24">
        <f t="shared" si="16"/>
        <v>44.55680000000001</v>
      </c>
      <c r="J67" s="7">
        <f t="shared" si="17"/>
        <v>18.430761841778107</v>
      </c>
      <c r="K67" s="8">
        <f t="shared" si="11"/>
        <v>36</v>
      </c>
      <c r="L67" s="8">
        <f t="shared" si="12"/>
        <v>20</v>
      </c>
      <c r="M67" s="6"/>
      <c r="N67" s="24">
        <f t="shared" si="18"/>
        <v>44.55680000000001</v>
      </c>
      <c r="O67" s="7">
        <f t="shared" si="19"/>
        <v>18.430761841778107</v>
      </c>
      <c r="P67" s="6">
        <f t="shared" si="13"/>
        <v>36</v>
      </c>
      <c r="Q67" s="6">
        <f t="shared" si="14"/>
        <v>20</v>
      </c>
      <c r="R67"/>
      <c r="S67" s="14"/>
    </row>
    <row r="68" spans="2:19" ht="12.75">
      <c r="B68"/>
      <c r="C68"/>
      <c r="D68"/>
      <c r="E68"/>
      <c r="F68"/>
      <c r="G68">
        <f t="shared" si="15"/>
        <v>60</v>
      </c>
      <c r="H68" s="23">
        <f t="shared" si="10"/>
        <v>1200</v>
      </c>
      <c r="I68" s="24">
        <f t="shared" si="16"/>
        <v>46.080000000000126</v>
      </c>
      <c r="J68" s="7">
        <f t="shared" si="17"/>
        <v>17.426593127426447</v>
      </c>
      <c r="K68" s="8">
        <f t="shared" si="11"/>
        <v>36</v>
      </c>
      <c r="L68" s="8">
        <f t="shared" si="12"/>
        <v>20</v>
      </c>
      <c r="M68" s="6"/>
      <c r="N68" s="24">
        <f t="shared" si="18"/>
        <v>46.080000000000126</v>
      </c>
      <c r="O68" s="7">
        <f t="shared" si="19"/>
        <v>17.426593127426447</v>
      </c>
      <c r="P68" s="6">
        <f t="shared" si="13"/>
        <v>36</v>
      </c>
      <c r="Q68" s="6">
        <f t="shared" si="14"/>
        <v>20</v>
      </c>
      <c r="R68"/>
      <c r="S68" s="14"/>
    </row>
    <row r="69" spans="2:19" ht="12.75">
      <c r="B69"/>
      <c r="C69"/>
      <c r="D69"/>
      <c r="E69"/>
      <c r="F69"/>
      <c r="G69">
        <f t="shared" si="15"/>
        <v>61</v>
      </c>
      <c r="H69" s="23">
        <f t="shared" si="10"/>
        <v>1220</v>
      </c>
      <c r="I69" s="24">
        <f t="shared" si="16"/>
        <v>47.6288</v>
      </c>
      <c r="J69" s="7">
        <f t="shared" si="17"/>
        <v>16.49240063080356</v>
      </c>
      <c r="K69" s="8">
        <f t="shared" si="11"/>
        <v>36</v>
      </c>
      <c r="L69" s="8">
        <f t="shared" si="12"/>
        <v>20</v>
      </c>
      <c r="M69" s="6"/>
      <c r="N69" s="24">
        <f t="shared" si="18"/>
        <v>47.6288</v>
      </c>
      <c r="O69" s="7">
        <f t="shared" si="19"/>
        <v>16.49240063080356</v>
      </c>
      <c r="P69" s="6">
        <f t="shared" si="13"/>
        <v>36</v>
      </c>
      <c r="Q69" s="6">
        <f t="shared" si="14"/>
        <v>20</v>
      </c>
      <c r="R69"/>
      <c r="S69" s="14"/>
    </row>
    <row r="70" spans="2:19" ht="12.75">
      <c r="B70"/>
      <c r="C70"/>
      <c r="D70"/>
      <c r="E70"/>
      <c r="F70"/>
      <c r="G70">
        <f t="shared" si="15"/>
        <v>62</v>
      </c>
      <c r="H70" s="23">
        <f t="shared" si="10"/>
        <v>1240</v>
      </c>
      <c r="I70" s="24">
        <f t="shared" si="16"/>
        <v>49.20320000000017</v>
      </c>
      <c r="J70" s="7">
        <f t="shared" si="17"/>
        <v>15.62227797339137</v>
      </c>
      <c r="K70" s="8">
        <f t="shared" si="11"/>
        <v>36</v>
      </c>
      <c r="L70" s="8">
        <f t="shared" si="12"/>
        <v>20</v>
      </c>
      <c r="M70" s="6"/>
      <c r="N70" s="24">
        <f t="shared" si="18"/>
        <v>49.20320000000017</v>
      </c>
      <c r="O70" s="7">
        <f t="shared" si="19"/>
        <v>15.62227797339137</v>
      </c>
      <c r="P70" s="6">
        <f t="shared" si="13"/>
        <v>36</v>
      </c>
      <c r="Q70" s="6">
        <f t="shared" si="14"/>
        <v>20</v>
      </c>
      <c r="R70"/>
      <c r="S70" s="14"/>
    </row>
    <row r="71" spans="2:19" ht="12.75">
      <c r="B71"/>
      <c r="C71"/>
      <c r="D71"/>
      <c r="E71"/>
      <c r="F71"/>
      <c r="G71">
        <f t="shared" si="15"/>
        <v>63</v>
      </c>
      <c r="H71" s="23">
        <f t="shared" si="10"/>
        <v>1260</v>
      </c>
      <c r="I71" s="24">
        <f t="shared" si="16"/>
        <v>50.80320000000015</v>
      </c>
      <c r="J71" s="7">
        <f t="shared" si="17"/>
        <v>14.810901531520706</v>
      </c>
      <c r="K71" s="8">
        <f t="shared" si="11"/>
        <v>36</v>
      </c>
      <c r="L71" s="8">
        <f t="shared" si="12"/>
        <v>20</v>
      </c>
      <c r="M71" s="6"/>
      <c r="N71" s="24">
        <f t="shared" si="18"/>
        <v>50.80320000000015</v>
      </c>
      <c r="O71" s="7">
        <f t="shared" si="19"/>
        <v>14.810901531520706</v>
      </c>
      <c r="P71" s="6">
        <f t="shared" si="13"/>
        <v>36</v>
      </c>
      <c r="Q71" s="6">
        <f t="shared" si="14"/>
        <v>20</v>
      </c>
      <c r="R71"/>
      <c r="S71" s="14"/>
    </row>
    <row r="72" spans="2:19" ht="12.75">
      <c r="B72"/>
      <c r="C72"/>
      <c r="D72"/>
      <c r="E72"/>
      <c r="F72"/>
      <c r="G72">
        <f t="shared" si="15"/>
        <v>64</v>
      </c>
      <c r="H72" s="23">
        <f t="shared" si="10"/>
        <v>1280</v>
      </c>
      <c r="I72" s="24">
        <f t="shared" si="16"/>
        <v>52.42880000000014</v>
      </c>
      <c r="J72" s="7">
        <f t="shared" si="17"/>
        <v>14.053464884339856</v>
      </c>
      <c r="K72" s="8">
        <f t="shared" si="11"/>
        <v>36</v>
      </c>
      <c r="L72" s="8">
        <f t="shared" si="12"/>
        <v>20</v>
      </c>
      <c r="M72" s="6"/>
      <c r="N72" s="24">
        <f t="shared" si="18"/>
        <v>52.42880000000014</v>
      </c>
      <c r="O72" s="7">
        <f t="shared" si="19"/>
        <v>14.053464884339856</v>
      </c>
      <c r="P72" s="6">
        <f t="shared" si="13"/>
        <v>36</v>
      </c>
      <c r="Q72" s="6">
        <f t="shared" si="14"/>
        <v>20</v>
      </c>
      <c r="R72"/>
      <c r="S72" s="14"/>
    </row>
    <row r="73" spans="2:19" ht="12.75">
      <c r="B73"/>
      <c r="C73"/>
      <c r="D73"/>
      <c r="E73"/>
      <c r="F73"/>
      <c r="G73">
        <f t="shared" si="15"/>
        <v>65</v>
      </c>
      <c r="H73" s="23">
        <f aca="true" t="shared" si="20" ref="H73:H104">G73*S$9</f>
        <v>1300</v>
      </c>
      <c r="I73" s="24">
        <f t="shared" si="16"/>
        <v>54.079999999999956</v>
      </c>
      <c r="J73" s="7">
        <f t="shared" si="17"/>
        <v>13.34562151405267</v>
      </c>
      <c r="K73" s="8">
        <f aca="true" t="shared" si="21" ref="K73:K107">IPP_mz</f>
        <v>36</v>
      </c>
      <c r="L73" s="8">
        <f aca="true" t="shared" si="22" ref="L73:L107">EPP_mz</f>
        <v>20</v>
      </c>
      <c r="M73" s="6"/>
      <c r="N73" s="24">
        <f t="shared" si="18"/>
        <v>54.079999999999956</v>
      </c>
      <c r="O73" s="7">
        <f t="shared" si="19"/>
        <v>13.34562151405267</v>
      </c>
      <c r="P73" s="6">
        <f aca="true" t="shared" si="23" ref="P73:P107">IPP_mz_after</f>
        <v>36</v>
      </c>
      <c r="Q73" s="6">
        <f aca="true" t="shared" si="24" ref="Q73:Q107">EPP_mz_after</f>
        <v>20</v>
      </c>
      <c r="R73"/>
      <c r="S73" s="14"/>
    </row>
    <row r="74" spans="2:19" ht="12.75">
      <c r="B74"/>
      <c r="C74"/>
      <c r="D74"/>
      <c r="E74"/>
      <c r="F74"/>
      <c r="G74">
        <f aca="true" t="shared" si="25" ref="G74:G107">1+G73</f>
        <v>66</v>
      </c>
      <c r="H74" s="23">
        <f t="shared" si="20"/>
        <v>1320</v>
      </c>
      <c r="I74" s="24">
        <f t="shared" si="16"/>
        <v>55.75680000000004</v>
      </c>
      <c r="J74" s="7">
        <f t="shared" si="17"/>
        <v>12.683434612258232</v>
      </c>
      <c r="K74" s="8">
        <f t="shared" si="21"/>
        <v>36</v>
      </c>
      <c r="L74" s="8">
        <f t="shared" si="22"/>
        <v>20</v>
      </c>
      <c r="M74" s="6"/>
      <c r="N74" s="24">
        <f t="shared" si="18"/>
        <v>55.75680000000004</v>
      </c>
      <c r="O74" s="7">
        <f t="shared" si="19"/>
        <v>12.683434612258232</v>
      </c>
      <c r="P74" s="6">
        <f t="shared" si="23"/>
        <v>36</v>
      </c>
      <c r="Q74" s="6">
        <f t="shared" si="24"/>
        <v>20</v>
      </c>
      <c r="R74"/>
      <c r="S74" s="14"/>
    </row>
    <row r="75" spans="2:19" ht="12.75">
      <c r="B75"/>
      <c r="C75"/>
      <c r="D75"/>
      <c r="E75"/>
      <c r="F75"/>
      <c r="G75">
        <f t="shared" si="25"/>
        <v>67</v>
      </c>
      <c r="H75" s="23">
        <f t="shared" si="20"/>
        <v>1340</v>
      </c>
      <c r="I75" s="24">
        <f t="shared" si="16"/>
        <v>57.459199999999946</v>
      </c>
      <c r="J75" s="7">
        <f t="shared" si="17"/>
        <v>12.063333019881114</v>
      </c>
      <c r="K75" s="8">
        <f t="shared" si="21"/>
        <v>36</v>
      </c>
      <c r="L75" s="8">
        <f t="shared" si="22"/>
        <v>20</v>
      </c>
      <c r="M75" s="6"/>
      <c r="N75" s="24">
        <f t="shared" si="18"/>
        <v>57.459199999999946</v>
      </c>
      <c r="O75" s="7">
        <f t="shared" si="19"/>
        <v>12.063333019881114</v>
      </c>
      <c r="P75" s="6">
        <f t="shared" si="23"/>
        <v>36</v>
      </c>
      <c r="Q75" s="6">
        <f t="shared" si="24"/>
        <v>20</v>
      </c>
      <c r="R75"/>
      <c r="S75" s="14"/>
    </row>
    <row r="76" spans="2:19" ht="12.75">
      <c r="B76"/>
      <c r="C76"/>
      <c r="D76"/>
      <c r="E76"/>
      <c r="F76"/>
      <c r="G76">
        <f t="shared" si="25"/>
        <v>68</v>
      </c>
      <c r="H76" s="23">
        <f t="shared" si="20"/>
        <v>1360</v>
      </c>
      <c r="I76" s="24">
        <f t="shared" si="16"/>
        <v>59.18720000000002</v>
      </c>
      <c r="J76" s="7">
        <f t="shared" si="17"/>
        <v>11.482072473400379</v>
      </c>
      <c r="K76" s="8">
        <f t="shared" si="21"/>
        <v>36</v>
      </c>
      <c r="L76" s="8">
        <f t="shared" si="22"/>
        <v>20</v>
      </c>
      <c r="M76" s="6"/>
      <c r="N76" s="24">
        <f t="shared" si="18"/>
        <v>59.18720000000002</v>
      </c>
      <c r="O76" s="7">
        <f t="shared" si="19"/>
        <v>11.482072473400379</v>
      </c>
      <c r="P76" s="6">
        <f t="shared" si="23"/>
        <v>36</v>
      </c>
      <c r="Q76" s="6">
        <f t="shared" si="24"/>
        <v>20</v>
      </c>
      <c r="R76"/>
      <c r="S76" s="14"/>
    </row>
    <row r="77" spans="2:19" ht="12.75">
      <c r="B77"/>
      <c r="C77"/>
      <c r="D77"/>
      <c r="E77"/>
      <c r="F77"/>
      <c r="G77">
        <f t="shared" si="25"/>
        <v>69</v>
      </c>
      <c r="H77" s="23">
        <f t="shared" si="20"/>
        <v>1380</v>
      </c>
      <c r="I77" s="24">
        <f t="shared" si="16"/>
        <v>60.940800000000024</v>
      </c>
      <c r="J77" s="7">
        <f t="shared" si="17"/>
        <v>10.936701451859731</v>
      </c>
      <c r="K77" s="8">
        <f t="shared" si="21"/>
        <v>36</v>
      </c>
      <c r="L77" s="8">
        <f t="shared" si="22"/>
        <v>20</v>
      </c>
      <c r="M77" s="6"/>
      <c r="N77" s="24">
        <f t="shared" si="18"/>
        <v>60.940800000000024</v>
      </c>
      <c r="O77" s="7">
        <f t="shared" si="19"/>
        <v>10.936701451859731</v>
      </c>
      <c r="P77" s="6">
        <f t="shared" si="23"/>
        <v>36</v>
      </c>
      <c r="Q77" s="6">
        <f t="shared" si="24"/>
        <v>20</v>
      </c>
      <c r="R77"/>
      <c r="S77" s="14"/>
    </row>
    <row r="78" spans="2:19" ht="12.75">
      <c r="B78"/>
      <c r="C78"/>
      <c r="D78"/>
      <c r="E78"/>
      <c r="F78"/>
      <c r="G78">
        <f t="shared" si="25"/>
        <v>70</v>
      </c>
      <c r="H78" s="23">
        <f t="shared" si="20"/>
        <v>1400</v>
      </c>
      <c r="I78" s="24">
        <f t="shared" si="16"/>
        <v>62.72000000000003</v>
      </c>
      <c r="J78" s="7">
        <f t="shared" si="17"/>
        <v>10.424531021534321</v>
      </c>
      <c r="K78" s="8">
        <f t="shared" si="21"/>
        <v>36</v>
      </c>
      <c r="L78" s="8">
        <f t="shared" si="22"/>
        <v>20</v>
      </c>
      <c r="M78" s="6"/>
      <c r="N78" s="24">
        <f t="shared" si="18"/>
        <v>62.72000000000003</v>
      </c>
      <c r="O78" s="7">
        <f t="shared" si="19"/>
        <v>10.424531021534321</v>
      </c>
      <c r="P78" s="6">
        <f t="shared" si="23"/>
        <v>36</v>
      </c>
      <c r="Q78" s="6">
        <f t="shared" si="24"/>
        <v>20</v>
      </c>
      <c r="R78"/>
      <c r="S78" s="14"/>
    </row>
    <row r="79" spans="2:19" ht="12.75">
      <c r="B79"/>
      <c r="C79"/>
      <c r="D79"/>
      <c r="E79"/>
      <c r="F79"/>
      <c r="G79">
        <f t="shared" si="25"/>
        <v>71</v>
      </c>
      <c r="H79" s="23">
        <f t="shared" si="20"/>
        <v>1420</v>
      </c>
      <c r="I79" s="24">
        <f t="shared" si="16"/>
        <v>64.52479999999998</v>
      </c>
      <c r="J79" s="7">
        <f t="shared" si="17"/>
        <v>9.943108161449336</v>
      </c>
      <c r="K79" s="8">
        <f t="shared" si="21"/>
        <v>36</v>
      </c>
      <c r="L79" s="8">
        <f t="shared" si="22"/>
        <v>20</v>
      </c>
      <c r="M79" s="6"/>
      <c r="N79" s="24">
        <f t="shared" si="18"/>
        <v>64.52479999999998</v>
      </c>
      <c r="O79" s="7">
        <f t="shared" si="19"/>
        <v>9.943108161449336</v>
      </c>
      <c r="P79" s="6">
        <f t="shared" si="23"/>
        <v>36</v>
      </c>
      <c r="Q79" s="6">
        <f t="shared" si="24"/>
        <v>20</v>
      </c>
      <c r="R79"/>
      <c r="S79" s="14"/>
    </row>
    <row r="80" spans="2:19" ht="12.75">
      <c r="B80"/>
      <c r="C80"/>
      <c r="D80"/>
      <c r="E80"/>
      <c r="F80"/>
      <c r="G80">
        <f t="shared" si="25"/>
        <v>72</v>
      </c>
      <c r="H80" s="23">
        <f t="shared" si="20"/>
        <v>1440</v>
      </c>
      <c r="I80" s="24">
        <f t="shared" si="16"/>
        <v>66.35520000000022</v>
      </c>
      <c r="J80" s="7">
        <f t="shared" si="17"/>
        <v>9.49019212590208</v>
      </c>
      <c r="K80" s="8">
        <f t="shared" si="21"/>
        <v>36</v>
      </c>
      <c r="L80" s="8">
        <f t="shared" si="22"/>
        <v>20</v>
      </c>
      <c r="M80" s="6"/>
      <c r="N80" s="24">
        <f t="shared" si="18"/>
        <v>66.35520000000022</v>
      </c>
      <c r="O80" s="7">
        <f t="shared" si="19"/>
        <v>9.49019212590208</v>
      </c>
      <c r="P80" s="6">
        <f t="shared" si="23"/>
        <v>36</v>
      </c>
      <c r="Q80" s="6">
        <f t="shared" si="24"/>
        <v>20</v>
      </c>
      <c r="R80"/>
      <c r="S80" s="14"/>
    </row>
    <row r="81" spans="2:19" ht="12.75">
      <c r="B81"/>
      <c r="C81"/>
      <c r="D81"/>
      <c r="E81"/>
      <c r="F81"/>
      <c r="G81">
        <f t="shared" si="25"/>
        <v>73</v>
      </c>
      <c r="H81" s="23">
        <f t="shared" si="20"/>
        <v>1460</v>
      </c>
      <c r="I81" s="24">
        <f t="shared" si="16"/>
        <v>68.21120000000008</v>
      </c>
      <c r="J81" s="7">
        <f t="shared" si="17"/>
        <v>9.063733461951603</v>
      </c>
      <c r="K81" s="8">
        <f t="shared" si="21"/>
        <v>36</v>
      </c>
      <c r="L81" s="8">
        <f t="shared" si="22"/>
        <v>20</v>
      </c>
      <c r="M81" s="6"/>
      <c r="N81" s="24">
        <f t="shared" si="18"/>
        <v>68.21120000000008</v>
      </c>
      <c r="O81" s="7">
        <f t="shared" si="19"/>
        <v>9.063733461951603</v>
      </c>
      <c r="P81" s="6">
        <f t="shared" si="23"/>
        <v>36</v>
      </c>
      <c r="Q81" s="6">
        <f t="shared" si="24"/>
        <v>20</v>
      </c>
      <c r="R81"/>
      <c r="S81" s="14"/>
    </row>
    <row r="82" spans="2:19" ht="12.75">
      <c r="B82"/>
      <c r="C82"/>
      <c r="D82"/>
      <c r="E82"/>
      <c r="F82"/>
      <c r="G82">
        <f t="shared" si="25"/>
        <v>74</v>
      </c>
      <c r="H82" s="23">
        <f t="shared" si="20"/>
        <v>1480</v>
      </c>
      <c r="I82" s="24">
        <f aca="true" t="shared" si="26" ref="I82:I107">EXP((LN($H82)-SAalpha_mz-Sbeta_mz_cf*LN(P_cf_0)-LN(Yield_mz))/Sbeta_mz)</f>
        <v>70.09280000000004</v>
      </c>
      <c r="J82" s="7">
        <f aca="true" t="shared" si="27" ref="J82:J107">EXP((LN($H82)-Dalpha_mz-Dgamma*LN(Y))/Dbeta_mz)</f>
        <v>8.661855352337861</v>
      </c>
      <c r="K82" s="8">
        <f t="shared" si="21"/>
        <v>36</v>
      </c>
      <c r="L82" s="8">
        <f t="shared" si="22"/>
        <v>20</v>
      </c>
      <c r="M82" s="6"/>
      <c r="N82" s="24">
        <f aca="true" t="shared" si="28" ref="N82:N107">EXP((LN($H82)-SAalpha_mz-Sbeta_mz_cf*LN(P_cf_1)-LN(Yield_mz1))/Sbeta_mz)</f>
        <v>70.09280000000004</v>
      </c>
      <c r="O82" s="7">
        <f aca="true" t="shared" si="29" ref="O82:O107">EXP((LN($H82)-Dalpha_mz-Dgamma*LN(Y*(1+PctChIncome)))/Dbeta_mz)</f>
        <v>8.661855352337861</v>
      </c>
      <c r="P82" s="6">
        <f t="shared" si="23"/>
        <v>36</v>
      </c>
      <c r="Q82" s="6">
        <f t="shared" si="24"/>
        <v>20</v>
      </c>
      <c r="R82"/>
      <c r="S82" s="14"/>
    </row>
    <row r="83" spans="2:19" ht="12.75">
      <c r="B83"/>
      <c r="C83"/>
      <c r="D83"/>
      <c r="E83"/>
      <c r="F83"/>
      <c r="G83">
        <f t="shared" si="25"/>
        <v>75</v>
      </c>
      <c r="H83" s="23">
        <f t="shared" si="20"/>
        <v>1500</v>
      </c>
      <c r="I83" s="24">
        <f t="shared" si="26"/>
        <v>72.00000000000007</v>
      </c>
      <c r="J83" s="7">
        <f t="shared" si="27"/>
        <v>8.282836998981203</v>
      </c>
      <c r="K83" s="8">
        <f t="shared" si="21"/>
        <v>36</v>
      </c>
      <c r="L83" s="8">
        <f t="shared" si="22"/>
        <v>20</v>
      </c>
      <c r="M83" s="6"/>
      <c r="N83" s="24">
        <f t="shared" si="28"/>
        <v>72.00000000000007</v>
      </c>
      <c r="O83" s="7">
        <f t="shared" si="29"/>
        <v>8.282836998981203</v>
      </c>
      <c r="P83" s="6">
        <f t="shared" si="23"/>
        <v>36</v>
      </c>
      <c r="Q83" s="6">
        <f t="shared" si="24"/>
        <v>20</v>
      </c>
      <c r="R83"/>
      <c r="S83" s="14"/>
    </row>
    <row r="84" spans="2:19" ht="12.75">
      <c r="B84"/>
      <c r="C84"/>
      <c r="D84"/>
      <c r="E84"/>
      <c r="F84"/>
      <c r="G84">
        <f t="shared" si="25"/>
        <v>76</v>
      </c>
      <c r="H84" s="23">
        <f t="shared" si="20"/>
        <v>1520</v>
      </c>
      <c r="I84" s="24">
        <f t="shared" si="26"/>
        <v>73.93280000000011</v>
      </c>
      <c r="J84" s="7">
        <f t="shared" si="27"/>
        <v>7.925098800342129</v>
      </c>
      <c r="K84" s="8">
        <f t="shared" si="21"/>
        <v>36</v>
      </c>
      <c r="L84" s="8">
        <f t="shared" si="22"/>
        <v>20</v>
      </c>
      <c r="M84" s="6"/>
      <c r="N84" s="24">
        <f t="shared" si="28"/>
        <v>73.93280000000011</v>
      </c>
      <c r="O84" s="7">
        <f t="shared" si="29"/>
        <v>7.925098800342129</v>
      </c>
      <c r="P84" s="6">
        <f t="shared" si="23"/>
        <v>36</v>
      </c>
      <c r="Q84" s="6">
        <f t="shared" si="24"/>
        <v>20</v>
      </c>
      <c r="R84"/>
      <c r="S84" s="14"/>
    </row>
    <row r="85" spans="2:19" ht="12.75">
      <c r="B85"/>
      <c r="C85"/>
      <c r="D85"/>
      <c r="E85"/>
      <c r="F85"/>
      <c r="G85">
        <f t="shared" si="25"/>
        <v>77</v>
      </c>
      <c r="H85" s="23">
        <f t="shared" si="20"/>
        <v>1540</v>
      </c>
      <c r="I85" s="24">
        <f t="shared" si="26"/>
        <v>75.89120000000015</v>
      </c>
      <c r="J85" s="7">
        <f t="shared" si="27"/>
        <v>7.587189108523939</v>
      </c>
      <c r="K85" s="8">
        <f t="shared" si="21"/>
        <v>36</v>
      </c>
      <c r="L85" s="8">
        <f t="shared" si="22"/>
        <v>20</v>
      </c>
      <c r="M85" s="6"/>
      <c r="N85" s="24">
        <f t="shared" si="28"/>
        <v>75.89120000000015</v>
      </c>
      <c r="O85" s="7">
        <f t="shared" si="29"/>
        <v>7.587189108523939</v>
      </c>
      <c r="P85" s="6">
        <f t="shared" si="23"/>
        <v>36</v>
      </c>
      <c r="Q85" s="6">
        <f t="shared" si="24"/>
        <v>20</v>
      </c>
      <c r="R85"/>
      <c r="S85" s="14"/>
    </row>
    <row r="86" spans="2:19" ht="12.75">
      <c r="B86"/>
      <c r="C86"/>
      <c r="D86"/>
      <c r="E86"/>
      <c r="F86"/>
      <c r="G86">
        <f t="shared" si="25"/>
        <v>78</v>
      </c>
      <c r="H86" s="23">
        <f t="shared" si="20"/>
        <v>1560</v>
      </c>
      <c r="I86" s="24">
        <f t="shared" si="26"/>
        <v>77.87519999999998</v>
      </c>
      <c r="J86" s="7">
        <f t="shared" si="27"/>
        <v>7.267772379938273</v>
      </c>
      <c r="K86" s="8">
        <f t="shared" si="21"/>
        <v>36</v>
      </c>
      <c r="L86" s="8">
        <f t="shared" si="22"/>
        <v>20</v>
      </c>
      <c r="M86" s="6"/>
      <c r="N86" s="24">
        <f t="shared" si="28"/>
        <v>77.87519999999998</v>
      </c>
      <c r="O86" s="7">
        <f t="shared" si="29"/>
        <v>7.267772379938273</v>
      </c>
      <c r="P86" s="6">
        <f t="shared" si="23"/>
        <v>36</v>
      </c>
      <c r="Q86" s="6">
        <f t="shared" si="24"/>
        <v>20</v>
      </c>
      <c r="R86"/>
      <c r="S86" s="14"/>
    </row>
    <row r="87" spans="2:19" ht="12.75">
      <c r="B87"/>
      <c r="C87"/>
      <c r="D87"/>
      <c r="E87"/>
      <c r="F87"/>
      <c r="G87">
        <f t="shared" si="25"/>
        <v>79</v>
      </c>
      <c r="H87" s="23">
        <f t="shared" si="20"/>
        <v>1580</v>
      </c>
      <c r="I87" s="24">
        <f t="shared" si="26"/>
        <v>79.88480000000027</v>
      </c>
      <c r="J87" s="7">
        <f t="shared" si="27"/>
        <v>6.965618557343478</v>
      </c>
      <c r="K87" s="8">
        <f t="shared" si="21"/>
        <v>36</v>
      </c>
      <c r="L87" s="8">
        <f t="shared" si="22"/>
        <v>20</v>
      </c>
      <c r="M87" s="6"/>
      <c r="N87" s="24">
        <f t="shared" si="28"/>
        <v>79.88480000000027</v>
      </c>
      <c r="O87" s="7">
        <f t="shared" si="29"/>
        <v>6.965618557343478</v>
      </c>
      <c r="P87" s="6">
        <f t="shared" si="23"/>
        <v>36</v>
      </c>
      <c r="Q87" s="6">
        <f t="shared" si="24"/>
        <v>20</v>
      </c>
      <c r="R87"/>
      <c r="S87" s="14"/>
    </row>
    <row r="88" spans="2:19" ht="12.75">
      <c r="B88"/>
      <c r="C88"/>
      <c r="D88"/>
      <c r="E88"/>
      <c r="F88"/>
      <c r="G88">
        <f t="shared" si="25"/>
        <v>80</v>
      </c>
      <c r="H88" s="23">
        <f t="shared" si="20"/>
        <v>1600</v>
      </c>
      <c r="I88" s="24">
        <f t="shared" si="26"/>
        <v>81.92000000000006</v>
      </c>
      <c r="J88" s="7">
        <f t="shared" si="27"/>
        <v>6.679593541705848</v>
      </c>
      <c r="K88" s="8">
        <f t="shared" si="21"/>
        <v>36</v>
      </c>
      <c r="L88" s="8">
        <f t="shared" si="22"/>
        <v>20</v>
      </c>
      <c r="M88" s="6"/>
      <c r="N88" s="24">
        <f t="shared" si="28"/>
        <v>81.92000000000006</v>
      </c>
      <c r="O88" s="7">
        <f t="shared" si="29"/>
        <v>6.679593541705848</v>
      </c>
      <c r="P88" s="6">
        <f t="shared" si="23"/>
        <v>36</v>
      </c>
      <c r="Q88" s="6">
        <f t="shared" si="24"/>
        <v>20</v>
      </c>
      <c r="R88"/>
      <c r="S88" s="14"/>
    </row>
    <row r="89" spans="2:19" ht="12.75">
      <c r="B89"/>
      <c r="C89"/>
      <c r="D89"/>
      <c r="E89"/>
      <c r="F89"/>
      <c r="G89">
        <f t="shared" si="25"/>
        <v>81</v>
      </c>
      <c r="H89" s="23">
        <f t="shared" si="20"/>
        <v>1620</v>
      </c>
      <c r="I89" s="24">
        <f t="shared" si="26"/>
        <v>83.98080000000004</v>
      </c>
      <c r="J89" s="7">
        <f t="shared" si="27"/>
        <v>6.408650630129975</v>
      </c>
      <c r="K89" s="8">
        <f t="shared" si="21"/>
        <v>36</v>
      </c>
      <c r="L89" s="8">
        <f t="shared" si="22"/>
        <v>20</v>
      </c>
      <c r="M89" s="6"/>
      <c r="N89" s="24">
        <f t="shared" si="28"/>
        <v>83.98080000000004</v>
      </c>
      <c r="O89" s="7">
        <f t="shared" si="29"/>
        <v>6.408650630129975</v>
      </c>
      <c r="P89" s="6">
        <f t="shared" si="23"/>
        <v>36</v>
      </c>
      <c r="Q89" s="6">
        <f t="shared" si="24"/>
        <v>20</v>
      </c>
      <c r="R89"/>
      <c r="S89" s="14"/>
    </row>
    <row r="90" spans="2:19" ht="12.75">
      <c r="B90"/>
      <c r="C90"/>
      <c r="D90"/>
      <c r="E90"/>
      <c r="F90"/>
      <c r="G90">
        <f t="shared" si="25"/>
        <v>82</v>
      </c>
      <c r="H90" s="23">
        <f t="shared" si="20"/>
        <v>1640</v>
      </c>
      <c r="I90" s="24">
        <f t="shared" si="26"/>
        <v>86.06720000000001</v>
      </c>
      <c r="J90" s="7">
        <f t="shared" si="27"/>
        <v>6.1518228114749105</v>
      </c>
      <c r="K90" s="8">
        <f t="shared" si="21"/>
        <v>36</v>
      </c>
      <c r="L90" s="8">
        <f t="shared" si="22"/>
        <v>20</v>
      </c>
      <c r="M90" s="6"/>
      <c r="N90" s="24">
        <f t="shared" si="28"/>
        <v>86.06720000000001</v>
      </c>
      <c r="O90" s="7">
        <f t="shared" si="29"/>
        <v>6.1518228114749105</v>
      </c>
      <c r="P90" s="6">
        <f t="shared" si="23"/>
        <v>36</v>
      </c>
      <c r="Q90" s="6">
        <f t="shared" si="24"/>
        <v>20</v>
      </c>
      <c r="R90"/>
      <c r="S90" s="14"/>
    </row>
    <row r="91" spans="2:19" ht="12.75">
      <c r="B91"/>
      <c r="C91"/>
      <c r="D91"/>
      <c r="E91"/>
      <c r="F91"/>
      <c r="G91">
        <f t="shared" si="25"/>
        <v>83</v>
      </c>
      <c r="H91" s="23">
        <f t="shared" si="20"/>
        <v>1660</v>
      </c>
      <c r="I91" s="24">
        <f t="shared" si="26"/>
        <v>88.17919999999988</v>
      </c>
      <c r="J91" s="7">
        <f t="shared" si="27"/>
        <v>5.908215824574873</v>
      </c>
      <c r="K91" s="8">
        <f t="shared" si="21"/>
        <v>36</v>
      </c>
      <c r="L91" s="8">
        <f t="shared" si="22"/>
        <v>20</v>
      </c>
      <c r="M91" s="6"/>
      <c r="N91" s="24">
        <f t="shared" si="28"/>
        <v>88.17919999999988</v>
      </c>
      <c r="O91" s="7">
        <f t="shared" si="29"/>
        <v>5.908215824574873</v>
      </c>
      <c r="P91" s="6">
        <f t="shared" si="23"/>
        <v>36</v>
      </c>
      <c r="Q91" s="6">
        <f t="shared" si="24"/>
        <v>20</v>
      </c>
      <c r="R91"/>
      <c r="S91" s="14"/>
    </row>
    <row r="92" spans="2:19" ht="12.75">
      <c r="B92"/>
      <c r="C92"/>
      <c r="D92"/>
      <c r="E92"/>
      <c r="F92"/>
      <c r="G92">
        <f t="shared" si="25"/>
        <v>84</v>
      </c>
      <c r="H92" s="23">
        <f t="shared" si="20"/>
        <v>1680</v>
      </c>
      <c r="I92" s="24">
        <f t="shared" si="26"/>
        <v>90.31680000000009</v>
      </c>
      <c r="J92" s="7">
        <f t="shared" si="27"/>
        <v>5.677001895516054</v>
      </c>
      <c r="K92" s="8">
        <f t="shared" si="21"/>
        <v>36</v>
      </c>
      <c r="L92" s="8">
        <f t="shared" si="22"/>
        <v>20</v>
      </c>
      <c r="M92" s="6"/>
      <c r="N92" s="24">
        <f t="shared" si="28"/>
        <v>90.31680000000009</v>
      </c>
      <c r="O92" s="7">
        <f t="shared" si="29"/>
        <v>5.677001895516054</v>
      </c>
      <c r="P92" s="6">
        <f t="shared" si="23"/>
        <v>36</v>
      </c>
      <c r="Q92" s="6">
        <f t="shared" si="24"/>
        <v>20</v>
      </c>
      <c r="R92"/>
      <c r="S92" s="14"/>
    </row>
    <row r="93" spans="2:19" ht="12.75">
      <c r="B93"/>
      <c r="C93"/>
      <c r="D93"/>
      <c r="E93"/>
      <c r="F93"/>
      <c r="G93">
        <f t="shared" si="25"/>
        <v>85</v>
      </c>
      <c r="H93" s="23">
        <f t="shared" si="20"/>
        <v>1700</v>
      </c>
      <c r="I93" s="24">
        <f t="shared" si="26"/>
        <v>92.47999999999985</v>
      </c>
      <c r="J93" s="7">
        <f t="shared" si="27"/>
        <v>5.4574140804370295</v>
      </c>
      <c r="K93" s="8">
        <f t="shared" si="21"/>
        <v>36</v>
      </c>
      <c r="L93" s="8">
        <f t="shared" si="22"/>
        <v>20</v>
      </c>
      <c r="M93" s="6"/>
      <c r="N93" s="24">
        <f t="shared" si="28"/>
        <v>92.47999999999985</v>
      </c>
      <c r="O93" s="7">
        <f t="shared" si="29"/>
        <v>5.4574140804370295</v>
      </c>
      <c r="P93" s="6">
        <f t="shared" si="23"/>
        <v>36</v>
      </c>
      <c r="Q93" s="6">
        <f t="shared" si="24"/>
        <v>20</v>
      </c>
      <c r="R93"/>
      <c r="S93" s="14"/>
    </row>
    <row r="94" spans="2:19" ht="12.75">
      <c r="B94"/>
      <c r="C94"/>
      <c r="D94"/>
      <c r="E94"/>
      <c r="F94"/>
      <c r="G94">
        <f t="shared" si="25"/>
        <v>86</v>
      </c>
      <c r="H94" s="23">
        <f t="shared" si="20"/>
        <v>1720</v>
      </c>
      <c r="I94" s="24">
        <f t="shared" si="26"/>
        <v>94.66880000000008</v>
      </c>
      <c r="J94" s="7">
        <f t="shared" si="27"/>
        <v>5.248741149034678</v>
      </c>
      <c r="K94" s="8">
        <f t="shared" si="21"/>
        <v>36</v>
      </c>
      <c r="L94" s="8">
        <f t="shared" si="22"/>
        <v>20</v>
      </c>
      <c r="M94" s="6"/>
      <c r="N94" s="24">
        <f t="shared" si="28"/>
        <v>94.66880000000008</v>
      </c>
      <c r="O94" s="7">
        <f t="shared" si="29"/>
        <v>5.248741149034678</v>
      </c>
      <c r="P94" s="6">
        <f t="shared" si="23"/>
        <v>36</v>
      </c>
      <c r="Q94" s="6">
        <f t="shared" si="24"/>
        <v>20</v>
      </c>
      <c r="R94"/>
      <c r="S94" s="14"/>
    </row>
    <row r="95" spans="2:19" ht="12.75">
      <c r="B95"/>
      <c r="C95"/>
      <c r="D95"/>
      <c r="E95"/>
      <c r="F95"/>
      <c r="G95">
        <f t="shared" si="25"/>
        <v>87</v>
      </c>
      <c r="H95" s="23">
        <f t="shared" si="20"/>
        <v>1740</v>
      </c>
      <c r="I95" s="24">
        <f t="shared" si="26"/>
        <v>96.88320000000014</v>
      </c>
      <c r="J95" s="7">
        <f t="shared" si="27"/>
        <v>5.050322951552272</v>
      </c>
      <c r="K95" s="8">
        <f t="shared" si="21"/>
        <v>36</v>
      </c>
      <c r="L95" s="8">
        <f t="shared" si="22"/>
        <v>20</v>
      </c>
      <c r="M95" s="6"/>
      <c r="N95" s="24">
        <f t="shared" si="28"/>
        <v>96.88320000000014</v>
      </c>
      <c r="O95" s="7">
        <f t="shared" si="29"/>
        <v>5.050322951552272</v>
      </c>
      <c r="P95" s="6">
        <f t="shared" si="23"/>
        <v>36</v>
      </c>
      <c r="Q95" s="6">
        <f t="shared" si="24"/>
        <v>20</v>
      </c>
      <c r="R95"/>
      <c r="S95" s="14"/>
    </row>
    <row r="96" spans="2:19" ht="12.75">
      <c r="B96"/>
      <c r="C96"/>
      <c r="D96"/>
      <c r="E96"/>
      <c r="F96"/>
      <c r="G96">
        <f t="shared" si="25"/>
        <v>88</v>
      </c>
      <c r="H96" s="23">
        <f t="shared" si="20"/>
        <v>1760</v>
      </c>
      <c r="I96" s="24">
        <f t="shared" si="26"/>
        <v>99.12320000000022</v>
      </c>
      <c r="J96" s="7">
        <f t="shared" si="27"/>
        <v>4.861546218655529</v>
      </c>
      <c r="K96" s="8">
        <f t="shared" si="21"/>
        <v>36</v>
      </c>
      <c r="L96" s="8">
        <f t="shared" si="22"/>
        <v>20</v>
      </c>
      <c r="M96" s="6"/>
      <c r="N96" s="24">
        <f t="shared" si="28"/>
        <v>99.12320000000022</v>
      </c>
      <c r="O96" s="7">
        <f t="shared" si="29"/>
        <v>4.861546218655529</v>
      </c>
      <c r="P96" s="6">
        <f t="shared" si="23"/>
        <v>36</v>
      </c>
      <c r="Q96" s="6">
        <f t="shared" si="24"/>
        <v>20</v>
      </c>
      <c r="R96"/>
      <c r="S96" s="14"/>
    </row>
    <row r="97" spans="2:19" ht="12.75">
      <c r="B97"/>
      <c r="C97"/>
      <c r="D97"/>
      <c r="E97"/>
      <c r="F97"/>
      <c r="G97">
        <f t="shared" si="25"/>
        <v>89</v>
      </c>
      <c r="H97" s="23">
        <f t="shared" si="20"/>
        <v>1780</v>
      </c>
      <c r="I97" s="24">
        <f t="shared" si="26"/>
        <v>101.38880000000012</v>
      </c>
      <c r="J97" s="7">
        <f t="shared" si="27"/>
        <v>4.6818407493992975</v>
      </c>
      <c r="K97" s="8">
        <f t="shared" si="21"/>
        <v>36</v>
      </c>
      <c r="L97" s="8">
        <f t="shared" si="22"/>
        <v>20</v>
      </c>
      <c r="M97" s="6"/>
      <c r="N97" s="24">
        <f t="shared" si="28"/>
        <v>101.38880000000012</v>
      </c>
      <c r="O97" s="7">
        <f t="shared" si="29"/>
        <v>4.6818407493992975</v>
      </c>
      <c r="P97" s="6">
        <f t="shared" si="23"/>
        <v>36</v>
      </c>
      <c r="Q97" s="6">
        <f t="shared" si="24"/>
        <v>20</v>
      </c>
      <c r="R97"/>
      <c r="S97" s="14"/>
    </row>
    <row r="98" spans="2:19" ht="12.75">
      <c r="B98"/>
      <c r="C98"/>
      <c r="D98"/>
      <c r="E98"/>
      <c r="F98"/>
      <c r="G98">
        <f t="shared" si="25"/>
        <v>90</v>
      </c>
      <c r="H98" s="23">
        <f t="shared" si="20"/>
        <v>1800</v>
      </c>
      <c r="I98" s="24">
        <f t="shared" si="26"/>
        <v>103.68000000000015</v>
      </c>
      <c r="J98" s="7">
        <f t="shared" si="27"/>
        <v>4.510675947563726</v>
      </c>
      <c r="K98" s="8">
        <f t="shared" si="21"/>
        <v>36</v>
      </c>
      <c r="L98" s="8">
        <f t="shared" si="22"/>
        <v>20</v>
      </c>
      <c r="M98" s="6"/>
      <c r="N98" s="24">
        <f t="shared" si="28"/>
        <v>103.68000000000015</v>
      </c>
      <c r="O98" s="7">
        <f t="shared" si="29"/>
        <v>4.510675947563726</v>
      </c>
      <c r="P98" s="6">
        <f t="shared" si="23"/>
        <v>36</v>
      </c>
      <c r="Q98" s="6">
        <f t="shared" si="24"/>
        <v>20</v>
      </c>
      <c r="R98"/>
      <c r="S98" s="14"/>
    </row>
    <row r="99" spans="2:19" ht="12.75">
      <c r="B99"/>
      <c r="C99"/>
      <c r="D99"/>
      <c r="E99"/>
      <c r="F99"/>
      <c r="G99">
        <f t="shared" si="25"/>
        <v>91</v>
      </c>
      <c r="H99" s="23">
        <f t="shared" si="20"/>
        <v>1820</v>
      </c>
      <c r="I99" s="24">
        <f t="shared" si="26"/>
        <v>105.99680000000009</v>
      </c>
      <c r="J99" s="7">
        <f t="shared" si="27"/>
        <v>4.3475576710905575</v>
      </c>
      <c r="K99" s="8">
        <f t="shared" si="21"/>
        <v>36</v>
      </c>
      <c r="L99" s="8">
        <f t="shared" si="22"/>
        <v>20</v>
      </c>
      <c r="M99" s="6"/>
      <c r="N99" s="24">
        <f t="shared" si="28"/>
        <v>105.99680000000009</v>
      </c>
      <c r="O99" s="7">
        <f t="shared" si="29"/>
        <v>4.3475576710905575</v>
      </c>
      <c r="P99" s="6">
        <f t="shared" si="23"/>
        <v>36</v>
      </c>
      <c r="Q99" s="6">
        <f t="shared" si="24"/>
        <v>20</v>
      </c>
      <c r="R99"/>
      <c r="S99" s="14"/>
    </row>
    <row r="100" spans="2:19" ht="12.75">
      <c r="B100"/>
      <c r="C100"/>
      <c r="D100"/>
      <c r="E100"/>
      <c r="F100"/>
      <c r="G100">
        <f t="shared" si="25"/>
        <v>92</v>
      </c>
      <c r="H100" s="23">
        <f t="shared" si="20"/>
        <v>1840</v>
      </c>
      <c r="I100" s="24">
        <f t="shared" si="26"/>
        <v>108.3392000000002</v>
      </c>
      <c r="J100" s="7">
        <f t="shared" si="27"/>
        <v>4.192025363261329</v>
      </c>
      <c r="K100" s="8">
        <f t="shared" si="21"/>
        <v>36</v>
      </c>
      <c r="L100" s="8">
        <f t="shared" si="22"/>
        <v>20</v>
      </c>
      <c r="M100" s="6"/>
      <c r="N100" s="24">
        <f t="shared" si="28"/>
        <v>108.3392000000002</v>
      </c>
      <c r="O100" s="7">
        <f t="shared" si="29"/>
        <v>4.192025363261329</v>
      </c>
      <c r="P100" s="6">
        <f t="shared" si="23"/>
        <v>36</v>
      </c>
      <c r="Q100" s="6">
        <f t="shared" si="24"/>
        <v>20</v>
      </c>
      <c r="R100"/>
      <c r="S100" s="14"/>
    </row>
    <row r="101" spans="2:19" ht="12.75">
      <c r="B101"/>
      <c r="C101"/>
      <c r="D101"/>
      <c r="E101"/>
      <c r="F101"/>
      <c r="G101">
        <f t="shared" si="25"/>
        <v>93</v>
      </c>
      <c r="H101" s="23">
        <f t="shared" si="20"/>
        <v>1860</v>
      </c>
      <c r="I101" s="24">
        <f t="shared" si="26"/>
        <v>110.70720000000024</v>
      </c>
      <c r="J101" s="7">
        <f t="shared" si="27"/>
        <v>4.043649437699232</v>
      </c>
      <c r="K101" s="8">
        <f t="shared" si="21"/>
        <v>36</v>
      </c>
      <c r="L101" s="8">
        <f t="shared" si="22"/>
        <v>20</v>
      </c>
      <c r="M101" s="6"/>
      <c r="N101" s="24">
        <f t="shared" si="28"/>
        <v>110.70720000000024</v>
      </c>
      <c r="O101" s="7">
        <f t="shared" si="29"/>
        <v>4.043649437699232</v>
      </c>
      <c r="P101" s="6">
        <f t="shared" si="23"/>
        <v>36</v>
      </c>
      <c r="Q101" s="6">
        <f t="shared" si="24"/>
        <v>20</v>
      </c>
      <c r="R101"/>
      <c r="S101" s="14"/>
    </row>
    <row r="102" spans="2:19" ht="12.75">
      <c r="B102"/>
      <c r="C102"/>
      <c r="D102"/>
      <c r="E102"/>
      <c r="F102"/>
      <c r="G102">
        <f t="shared" si="25"/>
        <v>94</v>
      </c>
      <c r="H102" s="23">
        <f t="shared" si="20"/>
        <v>1880</v>
      </c>
      <c r="I102" s="24">
        <f t="shared" si="26"/>
        <v>113.10079999999995</v>
      </c>
      <c r="J102" s="7">
        <f t="shared" si="27"/>
        <v>3.9020288923070763</v>
      </c>
      <c r="K102" s="8">
        <f t="shared" si="21"/>
        <v>36</v>
      </c>
      <c r="L102" s="8">
        <f t="shared" si="22"/>
        <v>20</v>
      </c>
      <c r="M102" s="6"/>
      <c r="N102" s="24">
        <f t="shared" si="28"/>
        <v>113.10079999999995</v>
      </c>
      <c r="O102" s="7">
        <f t="shared" si="29"/>
        <v>3.9020288923070763</v>
      </c>
      <c r="P102" s="6">
        <f t="shared" si="23"/>
        <v>36</v>
      </c>
      <c r="Q102" s="6">
        <f t="shared" si="24"/>
        <v>20</v>
      </c>
      <c r="R102"/>
      <c r="S102" s="14"/>
    </row>
    <row r="103" spans="2:19" ht="12.75">
      <c r="B103"/>
      <c r="C103"/>
      <c r="D103"/>
      <c r="E103"/>
      <c r="F103"/>
      <c r="G103">
        <f t="shared" si="25"/>
        <v>95</v>
      </c>
      <c r="H103" s="23">
        <f t="shared" si="20"/>
        <v>1900</v>
      </c>
      <c r="I103" s="24">
        <f t="shared" si="26"/>
        <v>115.52000000000037</v>
      </c>
      <c r="J103" s="7">
        <f t="shared" si="27"/>
        <v>3.7667891299272767</v>
      </c>
      <c r="K103" s="8">
        <f t="shared" si="21"/>
        <v>36</v>
      </c>
      <c r="L103" s="8">
        <f t="shared" si="22"/>
        <v>20</v>
      </c>
      <c r="M103" s="6"/>
      <c r="N103" s="24">
        <f t="shared" si="28"/>
        <v>115.52000000000037</v>
      </c>
      <c r="O103" s="7">
        <f t="shared" si="29"/>
        <v>3.7667891299272767</v>
      </c>
      <c r="P103" s="6">
        <f t="shared" si="23"/>
        <v>36</v>
      </c>
      <c r="Q103" s="6">
        <f t="shared" si="24"/>
        <v>20</v>
      </c>
      <c r="R103"/>
      <c r="S103" s="14"/>
    </row>
    <row r="104" spans="2:19" ht="12.75">
      <c r="B104"/>
      <c r="C104"/>
      <c r="D104"/>
      <c r="E104"/>
      <c r="F104"/>
      <c r="G104">
        <f t="shared" si="25"/>
        <v>96</v>
      </c>
      <c r="H104" s="23">
        <f t="shared" si="20"/>
        <v>1920</v>
      </c>
      <c r="I104" s="24">
        <f t="shared" si="26"/>
        <v>117.96480000000015</v>
      </c>
      <c r="J104" s="7">
        <f t="shared" si="27"/>
        <v>3.6375799658716605</v>
      </c>
      <c r="K104" s="8">
        <f t="shared" si="21"/>
        <v>36</v>
      </c>
      <c r="L104" s="8">
        <f t="shared" si="22"/>
        <v>20</v>
      </c>
      <c r="M104" s="6"/>
      <c r="N104" s="24">
        <f t="shared" si="28"/>
        <v>117.96480000000015</v>
      </c>
      <c r="O104" s="7">
        <f t="shared" si="29"/>
        <v>3.6375799658716605</v>
      </c>
      <c r="P104" s="6">
        <f t="shared" si="23"/>
        <v>36</v>
      </c>
      <c r="Q104" s="6">
        <f t="shared" si="24"/>
        <v>20</v>
      </c>
      <c r="R104"/>
      <c r="S104" s="14"/>
    </row>
    <row r="105" spans="2:19" ht="12.75">
      <c r="B105"/>
      <c r="C105"/>
      <c r="D105"/>
      <c r="E105"/>
      <c r="F105"/>
      <c r="G105">
        <f t="shared" si="25"/>
        <v>97</v>
      </c>
      <c r="H105" s="23">
        <f>G105*S$9</f>
        <v>1940</v>
      </c>
      <c r="I105" s="24">
        <f t="shared" si="26"/>
        <v>120.43520000000018</v>
      </c>
      <c r="J105" s="7">
        <f t="shared" si="27"/>
        <v>3.514073804558132</v>
      </c>
      <c r="K105" s="8">
        <f t="shared" si="21"/>
        <v>36</v>
      </c>
      <c r="L105" s="8">
        <f t="shared" si="22"/>
        <v>20</v>
      </c>
      <c r="M105" s="6"/>
      <c r="N105" s="24">
        <f t="shared" si="28"/>
        <v>120.43520000000018</v>
      </c>
      <c r="O105" s="7">
        <f t="shared" si="29"/>
        <v>3.514073804558132</v>
      </c>
      <c r="P105" s="6">
        <f t="shared" si="23"/>
        <v>36</v>
      </c>
      <c r="Q105" s="6">
        <f t="shared" si="24"/>
        <v>20</v>
      </c>
      <c r="R105"/>
      <c r="S105" s="14"/>
    </row>
    <row r="106" spans="2:19" ht="12.75">
      <c r="B106"/>
      <c r="C106"/>
      <c r="D106"/>
      <c r="E106"/>
      <c r="F106"/>
      <c r="G106">
        <f t="shared" si="25"/>
        <v>98</v>
      </c>
      <c r="H106" s="23">
        <f>G106*S$9</f>
        <v>1960</v>
      </c>
      <c r="I106" s="24">
        <f t="shared" si="26"/>
        <v>122.93119999999985</v>
      </c>
      <c r="J106" s="7">
        <f t="shared" si="27"/>
        <v>3.3959639693416044</v>
      </c>
      <c r="K106" s="8">
        <f t="shared" si="21"/>
        <v>36</v>
      </c>
      <c r="L106" s="8">
        <f t="shared" si="22"/>
        <v>20</v>
      </c>
      <c r="M106" s="6"/>
      <c r="N106" s="24">
        <f t="shared" si="28"/>
        <v>122.93119999999985</v>
      </c>
      <c r="O106" s="7">
        <f t="shared" si="29"/>
        <v>3.3959639693416044</v>
      </c>
      <c r="P106" s="6">
        <f t="shared" si="23"/>
        <v>36</v>
      </c>
      <c r="Q106" s="6">
        <f t="shared" si="24"/>
        <v>20</v>
      </c>
      <c r="R106"/>
      <c r="S106" s="14"/>
    </row>
    <row r="107" spans="2:19" ht="12.75">
      <c r="B107"/>
      <c r="C107"/>
      <c r="D107"/>
      <c r="E107"/>
      <c r="F107"/>
      <c r="G107">
        <f t="shared" si="25"/>
        <v>99</v>
      </c>
      <c r="H107" s="23">
        <f>G107*S$9</f>
        <v>1980</v>
      </c>
      <c r="I107" s="24">
        <f t="shared" si="26"/>
        <v>125.45280000000038</v>
      </c>
      <c r="J107" s="7">
        <f t="shared" si="27"/>
        <v>3.2829631712678498</v>
      </c>
      <c r="K107" s="8">
        <f t="shared" si="21"/>
        <v>36</v>
      </c>
      <c r="L107" s="8">
        <f t="shared" si="22"/>
        <v>20</v>
      </c>
      <c r="M107" s="6"/>
      <c r="N107" s="24">
        <f t="shared" si="28"/>
        <v>125.45280000000038</v>
      </c>
      <c r="O107" s="7">
        <f t="shared" si="29"/>
        <v>3.2829631712678498</v>
      </c>
      <c r="P107" s="6">
        <f t="shared" si="23"/>
        <v>36</v>
      </c>
      <c r="Q107" s="6">
        <f t="shared" si="24"/>
        <v>20</v>
      </c>
      <c r="R107"/>
      <c r="S107" s="14"/>
    </row>
    <row r="108" spans="2:19" ht="12.75">
      <c r="B108"/>
      <c r="C108"/>
      <c r="D108"/>
      <c r="E108"/>
      <c r="F108"/>
      <c r="G108"/>
      <c r="H108" s="23"/>
      <c r="I108" s="24"/>
      <c r="J108" s="7"/>
      <c r="K108" s="8"/>
      <c r="L108" s="8"/>
      <c r="M108" s="6"/>
      <c r="N108" s="24"/>
      <c r="O108" s="7"/>
      <c r="P108" s="7"/>
      <c r="Q108" s="7"/>
      <c r="R108" s="15"/>
      <c r="S108"/>
    </row>
    <row r="109" spans="2:19" ht="12.75">
      <c r="B109"/>
      <c r="C109"/>
      <c r="D109"/>
      <c r="E109"/>
      <c r="F109"/>
      <c r="G109"/>
      <c r="H109" s="25"/>
      <c r="I109" s="4"/>
      <c r="J109" s="4"/>
      <c r="K109" s="37"/>
      <c r="L109" s="37"/>
      <c r="M109" s="4"/>
      <c r="N109" s="4"/>
      <c r="O109" s="4"/>
      <c r="P109" s="4"/>
      <c r="Q109" s="4"/>
      <c r="R109" s="20"/>
      <c r="S109"/>
    </row>
    <row r="110" spans="2:19" ht="12.75">
      <c r="B110"/>
      <c r="C110"/>
      <c r="D110"/>
      <c r="E110"/>
      <c r="F110"/>
      <c r="G110" s="2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7" ht="12.75">
      <c r="B111"/>
      <c r="C111"/>
      <c r="D111"/>
      <c r="E111"/>
      <c r="G111" s="47"/>
      <c r="H111" s="48"/>
      <c r="I111" s="44"/>
      <c r="J111" s="45"/>
      <c r="M111" s="48"/>
      <c r="N111" s="44"/>
      <c r="P111" s="45"/>
      <c r="Q111" s="45"/>
    </row>
    <row r="112" spans="2:17" ht="12.75">
      <c r="B112"/>
      <c r="C112"/>
      <c r="D112"/>
      <c r="E112"/>
      <c r="G112" s="47"/>
      <c r="H112" s="48"/>
      <c r="I112" s="44"/>
      <c r="J112" s="45"/>
      <c r="M112" s="48"/>
      <c r="N112" s="44"/>
      <c r="P112" s="45"/>
      <c r="Q112" s="45"/>
    </row>
    <row r="113" spans="7:17" ht="12.75">
      <c r="G113" s="47"/>
      <c r="H113" s="48"/>
      <c r="I113" s="44"/>
      <c r="J113" s="45"/>
      <c r="M113" s="48"/>
      <c r="N113" s="44"/>
      <c r="P113" s="45"/>
      <c r="Q113" s="45"/>
    </row>
    <row r="114" spans="7:17" ht="12.75">
      <c r="G114" s="47"/>
      <c r="H114" s="48"/>
      <c r="I114" s="44"/>
      <c r="J114" s="45"/>
      <c r="M114" s="48"/>
      <c r="N114" s="44"/>
      <c r="P114" s="45"/>
      <c r="Q114" s="45"/>
    </row>
    <row r="115" spans="7:17" ht="12.75">
      <c r="G115" s="47"/>
      <c r="H115" s="48"/>
      <c r="I115" s="44"/>
      <c r="J115" s="45"/>
      <c r="M115" s="48"/>
      <c r="N115" s="44"/>
      <c r="P115" s="45"/>
      <c r="Q115" s="45"/>
    </row>
    <row r="116" spans="7:17" ht="12.75">
      <c r="G116" s="47"/>
      <c r="H116" s="48"/>
      <c r="I116" s="44"/>
      <c r="J116" s="45"/>
      <c r="M116" s="48"/>
      <c r="N116" s="44"/>
      <c r="P116" s="45"/>
      <c r="Q116" s="45"/>
    </row>
    <row r="117" spans="7:17" ht="12.75">
      <c r="G117" s="47"/>
      <c r="H117" s="48"/>
      <c r="I117" s="44"/>
      <c r="J117" s="45"/>
      <c r="M117" s="48"/>
      <c r="N117" s="44"/>
      <c r="P117" s="45"/>
      <c r="Q117" s="45"/>
    </row>
    <row r="118" spans="7:17" ht="12.75">
      <c r="G118" s="47"/>
      <c r="H118" s="48"/>
      <c r="I118" s="44"/>
      <c r="J118" s="45"/>
      <c r="M118" s="48"/>
      <c r="N118" s="44"/>
      <c r="P118" s="45"/>
      <c r="Q118" s="45"/>
    </row>
    <row r="119" spans="7:17" ht="12.75">
      <c r="G119" s="47"/>
      <c r="H119" s="48"/>
      <c r="I119" s="44"/>
      <c r="J119" s="45"/>
      <c r="M119" s="48"/>
      <c r="N119" s="44"/>
      <c r="P119" s="45"/>
      <c r="Q119" s="45"/>
    </row>
    <row r="120" spans="7:17" ht="12.75">
      <c r="G120" s="47"/>
      <c r="H120" s="48"/>
      <c r="I120" s="44"/>
      <c r="J120" s="45"/>
      <c r="M120" s="48"/>
      <c r="N120" s="44"/>
      <c r="P120" s="45"/>
      <c r="Q120" s="45"/>
    </row>
    <row r="121" spans="7:17" ht="12.75">
      <c r="G121" s="47"/>
      <c r="H121" s="48"/>
      <c r="I121" s="44"/>
      <c r="J121" s="45"/>
      <c r="M121" s="48"/>
      <c r="N121" s="44"/>
      <c r="P121" s="45"/>
      <c r="Q121" s="45"/>
    </row>
    <row r="122" spans="7:17" ht="12.75">
      <c r="G122" s="47"/>
      <c r="H122" s="48"/>
      <c r="I122" s="44"/>
      <c r="J122" s="45"/>
      <c r="M122" s="48"/>
      <c r="N122" s="44"/>
      <c r="P122" s="45"/>
      <c r="Q122" s="45"/>
    </row>
    <row r="123" spans="7:17" ht="12.75">
      <c r="G123" s="47"/>
      <c r="H123" s="48"/>
      <c r="I123" s="44"/>
      <c r="J123" s="45"/>
      <c r="M123" s="48"/>
      <c r="N123" s="44"/>
      <c r="P123" s="45"/>
      <c r="Q123" s="45"/>
    </row>
    <row r="124" spans="7:17" ht="12.75">
      <c r="G124" s="47"/>
      <c r="H124" s="48"/>
      <c r="I124" s="44"/>
      <c r="J124" s="45"/>
      <c r="M124" s="48"/>
      <c r="N124" s="44"/>
      <c r="P124" s="45"/>
      <c r="Q124" s="45"/>
    </row>
    <row r="125" spans="7:17" ht="12.75">
      <c r="G125" s="47"/>
      <c r="H125" s="48"/>
      <c r="I125" s="44"/>
      <c r="J125" s="45"/>
      <c r="M125" s="48"/>
      <c r="N125" s="44"/>
      <c r="P125" s="45"/>
      <c r="Q125" s="45"/>
    </row>
    <row r="126" spans="7:17" ht="12.75">
      <c r="G126" s="47"/>
      <c r="H126" s="48"/>
      <c r="I126" s="44"/>
      <c r="J126" s="45"/>
      <c r="M126" s="48"/>
      <c r="N126" s="44"/>
      <c r="P126" s="45"/>
      <c r="Q126" s="45"/>
    </row>
    <row r="127" spans="7:17" ht="12.75">
      <c r="G127" s="47"/>
      <c r="H127" s="48"/>
      <c r="I127" s="44"/>
      <c r="J127" s="45"/>
      <c r="M127" s="48"/>
      <c r="N127" s="44"/>
      <c r="P127" s="45"/>
      <c r="Q127" s="45"/>
    </row>
    <row r="128" spans="7:17" ht="12.75">
      <c r="G128" s="47"/>
      <c r="H128" s="48"/>
      <c r="I128" s="44"/>
      <c r="J128" s="45"/>
      <c r="M128" s="48"/>
      <c r="N128" s="44"/>
      <c r="P128" s="45"/>
      <c r="Q128" s="45"/>
    </row>
    <row r="129" spans="7:17" ht="12.75">
      <c r="G129" s="47"/>
      <c r="H129" s="48"/>
      <c r="I129" s="44"/>
      <c r="J129" s="45"/>
      <c r="M129" s="48"/>
      <c r="N129" s="44"/>
      <c r="P129" s="45"/>
      <c r="Q129" s="45"/>
    </row>
    <row r="130" spans="7:17" ht="12.75">
      <c r="G130" s="47"/>
      <c r="H130" s="48"/>
      <c r="I130" s="44"/>
      <c r="J130" s="45"/>
      <c r="M130" s="48"/>
      <c r="N130" s="44"/>
      <c r="P130" s="45"/>
      <c r="Q130" s="45"/>
    </row>
    <row r="131" spans="7:17" ht="12.75">
      <c r="G131" s="47"/>
      <c r="H131" s="48"/>
      <c r="I131" s="44"/>
      <c r="J131" s="45"/>
      <c r="M131" s="48"/>
      <c r="N131" s="44"/>
      <c r="P131" s="45"/>
      <c r="Q131" s="45"/>
    </row>
    <row r="132" spans="7:17" ht="12.75">
      <c r="G132" s="47"/>
      <c r="H132" s="48"/>
      <c r="I132" s="44"/>
      <c r="J132" s="45"/>
      <c r="M132" s="48"/>
      <c r="N132" s="44"/>
      <c r="P132" s="45"/>
      <c r="Q132" s="45"/>
    </row>
    <row r="133" spans="7:17" ht="12.75">
      <c r="G133" s="47"/>
      <c r="H133" s="48"/>
      <c r="I133" s="44"/>
      <c r="J133" s="45"/>
      <c r="M133" s="48"/>
      <c r="N133" s="44"/>
      <c r="P133" s="45"/>
      <c r="Q133" s="45"/>
    </row>
    <row r="134" spans="7:17" ht="12.75">
      <c r="G134" s="47"/>
      <c r="H134" s="48"/>
      <c r="I134" s="44"/>
      <c r="J134" s="45"/>
      <c r="M134" s="48"/>
      <c r="N134" s="44"/>
      <c r="P134" s="45"/>
      <c r="Q134" s="45"/>
    </row>
    <row r="135" spans="7:17" ht="12.75">
      <c r="G135" s="47"/>
      <c r="H135" s="48"/>
      <c r="I135" s="44"/>
      <c r="J135" s="45"/>
      <c r="M135" s="48"/>
      <c r="N135" s="44"/>
      <c r="P135" s="45"/>
      <c r="Q135" s="45"/>
    </row>
    <row r="136" spans="7:17" ht="12.75">
      <c r="G136" s="47"/>
      <c r="H136" s="48"/>
      <c r="I136" s="44"/>
      <c r="J136" s="45"/>
      <c r="M136" s="48"/>
      <c r="N136" s="44"/>
      <c r="P136" s="45"/>
      <c r="Q136" s="45"/>
    </row>
    <row r="137" spans="7:17" ht="12.75">
      <c r="G137" s="47"/>
      <c r="H137" s="48"/>
      <c r="I137" s="44"/>
      <c r="J137" s="45"/>
      <c r="M137" s="48"/>
      <c r="N137" s="44"/>
      <c r="P137" s="45"/>
      <c r="Q137" s="45"/>
    </row>
    <row r="138" spans="7:17" ht="12.75">
      <c r="G138" s="47"/>
      <c r="H138" s="48"/>
      <c r="I138" s="44"/>
      <c r="J138" s="45"/>
      <c r="M138" s="48"/>
      <c r="N138" s="44"/>
      <c r="P138" s="45"/>
      <c r="Q138" s="45"/>
    </row>
    <row r="139" spans="7:17" ht="12.75">
      <c r="G139" s="47"/>
      <c r="H139" s="48"/>
      <c r="I139" s="44"/>
      <c r="J139" s="45"/>
      <c r="M139" s="48"/>
      <c r="N139" s="44"/>
      <c r="P139" s="45"/>
      <c r="Q139" s="45"/>
    </row>
    <row r="140" spans="7:17" ht="12.75">
      <c r="G140" s="47"/>
      <c r="H140" s="48"/>
      <c r="I140" s="44"/>
      <c r="J140" s="45"/>
      <c r="M140" s="48"/>
      <c r="N140" s="44"/>
      <c r="P140" s="45"/>
      <c r="Q140" s="45"/>
    </row>
    <row r="141" spans="7:17" ht="12.75">
      <c r="G141" s="47"/>
      <c r="H141" s="48"/>
      <c r="I141" s="44"/>
      <c r="J141" s="45"/>
      <c r="M141" s="48"/>
      <c r="N141" s="44"/>
      <c r="O141" s="44"/>
      <c r="P141" s="45"/>
      <c r="Q141" s="45"/>
    </row>
    <row r="142" spans="7:10" ht="12.75">
      <c r="G142" s="47"/>
      <c r="J142" s="45"/>
    </row>
    <row r="143" ht="12.75">
      <c r="F143" s="47"/>
    </row>
    <row r="144" ht="12.75">
      <c r="F144" s="47"/>
    </row>
    <row r="145" ht="12.75">
      <c r="F145" s="47"/>
    </row>
    <row r="146" ht="12.75">
      <c r="F146" s="47"/>
    </row>
    <row r="147" ht="12.75">
      <c r="F147" s="47"/>
    </row>
    <row r="148" ht="12.75">
      <c r="F148" s="47"/>
    </row>
    <row r="149" ht="12.75">
      <c r="F149" s="47"/>
    </row>
    <row r="150" ht="12.75">
      <c r="F150" s="47"/>
    </row>
    <row r="151" ht="12.75">
      <c r="F151" s="47"/>
    </row>
    <row r="152" ht="12.75">
      <c r="F152" s="47"/>
    </row>
    <row r="153" ht="12.75">
      <c r="F153" s="47"/>
    </row>
    <row r="154" ht="12.75">
      <c r="F154" s="47"/>
    </row>
    <row r="155" ht="12.75">
      <c r="F155" s="47"/>
    </row>
    <row r="156" ht="12.75">
      <c r="F156" s="47"/>
    </row>
    <row r="157" ht="12.75">
      <c r="F157" s="47"/>
    </row>
    <row r="158" ht="12.75">
      <c r="F158" s="47"/>
    </row>
    <row r="159" ht="12.75">
      <c r="F159" s="47"/>
    </row>
    <row r="160" ht="12.75">
      <c r="F160" s="47"/>
    </row>
    <row r="161" ht="12.75">
      <c r="F161" s="47"/>
    </row>
  </sheetData>
  <sheetProtection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161"/>
  <sheetViews>
    <sheetView zoomScale="80" zoomScaleNormal="80" zoomScalePageLayoutView="0" workbookViewId="0" topLeftCell="A1">
      <selection activeCell="U13" sqref="U13"/>
    </sheetView>
  </sheetViews>
  <sheetFormatPr defaultColWidth="9.140625" defaultRowHeight="12.75"/>
  <cols>
    <col min="1" max="1" width="9.140625" style="40" customWidth="1"/>
    <col min="2" max="2" width="14.8515625" style="40" customWidth="1"/>
    <col min="3" max="3" width="16.421875" style="40" customWidth="1"/>
    <col min="4" max="4" width="11.421875" style="40" customWidth="1"/>
    <col min="5" max="5" width="10.8515625" style="40" customWidth="1"/>
    <col min="6" max="6" width="4.7109375" style="40" customWidth="1"/>
    <col min="7" max="7" width="4.421875" style="40" customWidth="1"/>
    <col min="8" max="8" width="11.7109375" style="40" customWidth="1"/>
    <col min="9" max="10" width="9.140625" style="40" customWidth="1"/>
    <col min="11" max="12" width="7.8515625" style="40" customWidth="1"/>
    <col min="13" max="13" width="4.140625" style="40" customWidth="1"/>
    <col min="14" max="17" width="9.140625" style="40" customWidth="1"/>
    <col min="18" max="19" width="8.28125" style="40" customWidth="1"/>
    <col min="20" max="16384" width="9.140625" style="40" customWidth="1"/>
  </cols>
  <sheetData>
    <row r="1" spans="1:2" ht="20.25">
      <c r="A1" s="43"/>
      <c r="B1" s="56" t="s">
        <v>22</v>
      </c>
    </row>
    <row r="2" spans="2:19" ht="21" customHeight="1" thickBot="1">
      <c r="B2" s="54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/>
      <c r="S2"/>
    </row>
    <row r="3" spans="2:19" ht="21" customHeight="1" thickTop="1">
      <c r="B3" s="5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/>
      <c r="S3"/>
    </row>
    <row r="4" spans="2:19" ht="12.75">
      <c r="B4" s="6"/>
      <c r="C4" s="6"/>
      <c r="D4" s="7"/>
      <c r="E4" s="6"/>
      <c r="F4" s="6"/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2.75">
      <c r="B5" s="62" t="s">
        <v>51</v>
      </c>
      <c r="C5" s="11"/>
      <c r="D5" s="12"/>
      <c r="E5" s="13"/>
      <c r="F5" s="6"/>
      <c r="G5"/>
      <c r="H5" s="10" t="s">
        <v>19</v>
      </c>
      <c r="I5" s="11"/>
      <c r="J5" s="11"/>
      <c r="K5" s="11"/>
      <c r="L5" s="11"/>
      <c r="M5" s="11"/>
      <c r="N5" s="11"/>
      <c r="O5" s="11"/>
      <c r="P5" s="11"/>
      <c r="Q5" s="11"/>
      <c r="R5" s="28"/>
      <c r="S5"/>
    </row>
    <row r="6" spans="2:19" ht="12.75">
      <c r="B6" s="14"/>
      <c r="C6" s="6"/>
      <c r="D6" s="7"/>
      <c r="E6" s="15"/>
      <c r="F6" s="6"/>
      <c r="G6"/>
      <c r="H6" s="14"/>
      <c r="I6" s="4" t="s">
        <v>7</v>
      </c>
      <c r="J6" s="5" t="s">
        <v>7</v>
      </c>
      <c r="K6" s="5"/>
      <c r="L6" s="5"/>
      <c r="M6" s="6"/>
      <c r="N6" s="4"/>
      <c r="O6" s="5" t="s">
        <v>8</v>
      </c>
      <c r="P6" s="5"/>
      <c r="Q6" s="5"/>
      <c r="R6" s="36"/>
      <c r="S6"/>
    </row>
    <row r="7" spans="2:19" ht="12.75">
      <c r="B7" s="16" t="s">
        <v>14</v>
      </c>
      <c r="C7" s="4"/>
      <c r="D7" s="7"/>
      <c r="E7" s="15"/>
      <c r="F7" s="6"/>
      <c r="G7"/>
      <c r="H7" s="21" t="s">
        <v>3</v>
      </c>
      <c r="I7" s="22" t="s">
        <v>5</v>
      </c>
      <c r="J7" s="22" t="s">
        <v>6</v>
      </c>
      <c r="K7" s="60" t="s">
        <v>53</v>
      </c>
      <c r="L7" s="60" t="s">
        <v>25</v>
      </c>
      <c r="M7" s="6"/>
      <c r="N7" s="22" t="s">
        <v>5</v>
      </c>
      <c r="O7" s="22" t="s">
        <v>6</v>
      </c>
      <c r="P7" s="60" t="s">
        <v>55</v>
      </c>
      <c r="Q7" s="60" t="s">
        <v>25</v>
      </c>
      <c r="R7" s="29"/>
      <c r="S7"/>
    </row>
    <row r="8" spans="2:19" ht="12.75">
      <c r="B8" s="14" t="s">
        <v>60</v>
      </c>
      <c r="C8" s="6"/>
      <c r="D8" s="7"/>
      <c r="E8" s="15"/>
      <c r="F8" s="6"/>
      <c r="G8"/>
      <c r="H8" s="21"/>
      <c r="I8" s="22"/>
      <c r="J8" s="6"/>
      <c r="K8" s="60" t="s">
        <v>54</v>
      </c>
      <c r="L8" s="60" t="s">
        <v>26</v>
      </c>
      <c r="M8" s="6"/>
      <c r="N8" s="6"/>
      <c r="O8" s="6"/>
      <c r="P8" s="60" t="s">
        <v>54</v>
      </c>
      <c r="Q8" s="60" t="s">
        <v>26</v>
      </c>
      <c r="R8" s="15"/>
      <c r="S8" s="26" t="s">
        <v>20</v>
      </c>
    </row>
    <row r="9" spans="2:19" ht="12.75">
      <c r="B9" s="14" t="s">
        <v>61</v>
      </c>
      <c r="C9" s="6"/>
      <c r="D9" s="7"/>
      <c r="E9" s="15"/>
      <c r="F9" s="6"/>
      <c r="G9">
        <v>1</v>
      </c>
      <c r="H9" s="23">
        <f aca="true" t="shared" si="0" ref="H9:H72">G9*S$9</f>
        <v>15</v>
      </c>
      <c r="I9" s="70"/>
      <c r="J9" s="71"/>
      <c r="K9" s="34">
        <f aca="true" t="shared" si="1" ref="K9:K40">P_cf_w0_ksh</f>
        <v>255</v>
      </c>
      <c r="L9" s="34">
        <f aca="true" t="shared" si="2" ref="L9:L40">EPP_cf</f>
        <v>185</v>
      </c>
      <c r="M9" s="34"/>
      <c r="N9" s="70"/>
      <c r="O9" s="34"/>
      <c r="P9" s="34">
        <f aca="true" t="shared" si="3" ref="P9:P40">P_cf_w1_ksh</f>
        <v>255</v>
      </c>
      <c r="Q9" s="34">
        <f aca="true" t="shared" si="4" ref="Q9:Q40">EPP_cf_after</f>
        <v>185</v>
      </c>
      <c r="R9"/>
      <c r="S9" s="38">
        <v>15</v>
      </c>
    </row>
    <row r="10" spans="2:19" ht="12.75">
      <c r="B10" s="14" t="s">
        <v>2</v>
      </c>
      <c r="C10" s="6"/>
      <c r="D10" s="17">
        <f>LN(Area_cf)-Es_cf*LN(P_cf_hh)-Es_cf_mz*LN(P_mz_hh)</f>
        <v>-1.4036959378228784</v>
      </c>
      <c r="E10" s="15"/>
      <c r="F10" s="6"/>
      <c r="G10">
        <f aca="true" t="shared" si="5" ref="G10:G73">1+G9</f>
        <v>2</v>
      </c>
      <c r="H10" s="23">
        <f t="shared" si="0"/>
        <v>30</v>
      </c>
      <c r="I10" s="70"/>
      <c r="J10" s="71"/>
      <c r="K10" s="34">
        <f t="shared" si="1"/>
        <v>255</v>
      </c>
      <c r="L10" s="34">
        <f t="shared" si="2"/>
        <v>185</v>
      </c>
      <c r="M10" s="34"/>
      <c r="N10" s="70"/>
      <c r="O10" s="34"/>
      <c r="P10" s="34">
        <f t="shared" si="3"/>
        <v>255</v>
      </c>
      <c r="Q10" s="34">
        <f t="shared" si="4"/>
        <v>185</v>
      </c>
      <c r="R10"/>
      <c r="S10" s="39"/>
    </row>
    <row r="11" spans="2:19" ht="12.75">
      <c r="B11" s="76" t="s">
        <v>67</v>
      </c>
      <c r="C11" s="6"/>
      <c r="D11" s="17">
        <f>Es_cf</f>
        <v>0.8</v>
      </c>
      <c r="E11" s="15"/>
      <c r="F11" s="6"/>
      <c r="G11">
        <f t="shared" si="5"/>
        <v>3</v>
      </c>
      <c r="H11" s="23">
        <f t="shared" si="0"/>
        <v>45</v>
      </c>
      <c r="I11" s="70"/>
      <c r="J11" s="71"/>
      <c r="K11" s="34">
        <f t="shared" si="1"/>
        <v>255</v>
      </c>
      <c r="L11" s="34">
        <f t="shared" si="2"/>
        <v>185</v>
      </c>
      <c r="M11" s="34"/>
      <c r="N11" s="70"/>
      <c r="O11" s="34"/>
      <c r="P11" s="34">
        <f t="shared" si="3"/>
        <v>255</v>
      </c>
      <c r="Q11" s="34">
        <f t="shared" si="4"/>
        <v>185</v>
      </c>
      <c r="R11"/>
      <c r="S11" s="14"/>
    </row>
    <row r="12" spans="2:19" ht="12.75">
      <c r="B12" s="76" t="s">
        <v>68</v>
      </c>
      <c r="C12" s="6"/>
      <c r="D12" s="17">
        <f>(-1)*Es_mz*Area_mz/Area_cf</f>
        <v>-1</v>
      </c>
      <c r="E12" s="15"/>
      <c r="F12" s="6"/>
      <c r="G12">
        <f t="shared" si="5"/>
        <v>4</v>
      </c>
      <c r="H12" s="23">
        <f t="shared" si="0"/>
        <v>60</v>
      </c>
      <c r="I12" s="70">
        <f aca="true" t="shared" si="6" ref="I12:I43">EXP((LN($H12)-SAalpha_cf-Sbeta_cf_mz*LN(P_mz_0)-LN(Yield_cf))/Sbeta_cf)</f>
        <v>41.07459564932186</v>
      </c>
      <c r="J12" s="71"/>
      <c r="K12" s="34">
        <f t="shared" si="1"/>
        <v>255</v>
      </c>
      <c r="L12" s="34">
        <f t="shared" si="2"/>
        <v>185</v>
      </c>
      <c r="M12" s="34"/>
      <c r="N12" s="70">
        <f aca="true" t="shared" si="7" ref="N12:N43">EXP((LN($H12)-SAalpha_cf-Sbeta_cf_mz*LN(P_mz_1)-LN(Yield_cf1))/Sbeta_cf)</f>
        <v>41.07459564932186</v>
      </c>
      <c r="O12" s="34"/>
      <c r="P12" s="34">
        <f t="shared" si="3"/>
        <v>255</v>
      </c>
      <c r="Q12" s="34">
        <f t="shared" si="4"/>
        <v>185</v>
      </c>
      <c r="R12"/>
      <c r="S12" s="14"/>
    </row>
    <row r="13" spans="2:19" ht="12.75">
      <c r="B13" s="14"/>
      <c r="C13" s="6"/>
      <c r="D13" s="7"/>
      <c r="E13" s="15"/>
      <c r="F13" s="6"/>
      <c r="G13">
        <f t="shared" si="5"/>
        <v>5</v>
      </c>
      <c r="H13" s="23">
        <f t="shared" si="0"/>
        <v>75</v>
      </c>
      <c r="I13" s="70">
        <f t="shared" si="6"/>
        <v>54.288871371292124</v>
      </c>
      <c r="J13" s="71"/>
      <c r="K13" s="34">
        <f t="shared" si="1"/>
        <v>255</v>
      </c>
      <c r="L13" s="34">
        <f t="shared" si="2"/>
        <v>185</v>
      </c>
      <c r="M13" s="34"/>
      <c r="N13" s="70">
        <f t="shared" si="7"/>
        <v>54.288871371292124</v>
      </c>
      <c r="O13" s="34"/>
      <c r="P13" s="34">
        <f t="shared" si="3"/>
        <v>255</v>
      </c>
      <c r="Q13" s="34">
        <f t="shared" si="4"/>
        <v>185</v>
      </c>
      <c r="R13"/>
      <c r="S13" s="14"/>
    </row>
    <row r="14" spans="2:19" ht="12.75">
      <c r="B14" s="16" t="s">
        <v>15</v>
      </c>
      <c r="C14" s="4"/>
      <c r="D14" s="6"/>
      <c r="E14" s="15"/>
      <c r="F14" s="6"/>
      <c r="G14">
        <f t="shared" si="5"/>
        <v>6</v>
      </c>
      <c r="H14" s="23">
        <f t="shared" si="0"/>
        <v>90</v>
      </c>
      <c r="I14" s="70">
        <f t="shared" si="6"/>
        <v>68.18476854615892</v>
      </c>
      <c r="J14" s="71"/>
      <c r="K14" s="34">
        <f t="shared" si="1"/>
        <v>255</v>
      </c>
      <c r="L14" s="34">
        <f t="shared" si="2"/>
        <v>185</v>
      </c>
      <c r="M14" s="34"/>
      <c r="N14" s="70">
        <f t="shared" si="7"/>
        <v>68.18476854615892</v>
      </c>
      <c r="O14" s="34"/>
      <c r="P14" s="34">
        <f t="shared" si="3"/>
        <v>255</v>
      </c>
      <c r="Q14" s="34">
        <f t="shared" si="4"/>
        <v>185</v>
      </c>
      <c r="R14"/>
      <c r="S14" s="14"/>
    </row>
    <row r="15" spans="2:19" ht="12.75">
      <c r="B15" s="14" t="s">
        <v>13</v>
      </c>
      <c r="C15" s="6"/>
      <c r="D15" s="6"/>
      <c r="E15" s="15"/>
      <c r="F15" s="6"/>
      <c r="G15">
        <f t="shared" si="5"/>
        <v>7</v>
      </c>
      <c r="H15" s="23">
        <f t="shared" si="0"/>
        <v>105</v>
      </c>
      <c r="I15" s="70">
        <f t="shared" si="6"/>
        <v>82.674363051297</v>
      </c>
      <c r="J15" s="71"/>
      <c r="K15" s="34">
        <f t="shared" si="1"/>
        <v>255</v>
      </c>
      <c r="L15" s="34">
        <f t="shared" si="2"/>
        <v>185</v>
      </c>
      <c r="M15" s="34"/>
      <c r="N15" s="70">
        <f t="shared" si="7"/>
        <v>82.674363051297</v>
      </c>
      <c r="O15" s="34"/>
      <c r="P15" s="34">
        <f t="shared" si="3"/>
        <v>255</v>
      </c>
      <c r="Q15" s="34">
        <f t="shared" si="4"/>
        <v>185</v>
      </c>
      <c r="R15"/>
      <c r="S15" s="14"/>
    </row>
    <row r="16" spans="2:19" ht="12.75">
      <c r="B16" s="27" t="s">
        <v>21</v>
      </c>
      <c r="C16" s="6"/>
      <c r="D16" s="69" t="s">
        <v>52</v>
      </c>
      <c r="E16" s="15"/>
      <c r="F16" s="6"/>
      <c r="G16">
        <f t="shared" si="5"/>
        <v>8</v>
      </c>
      <c r="H16" s="23">
        <f t="shared" si="0"/>
        <v>120</v>
      </c>
      <c r="I16" s="70">
        <f t="shared" si="6"/>
        <v>97.69240278406669</v>
      </c>
      <c r="J16" s="71"/>
      <c r="K16" s="34">
        <f t="shared" si="1"/>
        <v>255</v>
      </c>
      <c r="L16" s="34">
        <f t="shared" si="2"/>
        <v>185</v>
      </c>
      <c r="M16" s="34"/>
      <c r="N16" s="70">
        <f t="shared" si="7"/>
        <v>97.69240278406669</v>
      </c>
      <c r="O16" s="34"/>
      <c r="P16" s="34">
        <f t="shared" si="3"/>
        <v>255</v>
      </c>
      <c r="Q16" s="34">
        <f t="shared" si="4"/>
        <v>185</v>
      </c>
      <c r="R16"/>
      <c r="S16" s="14"/>
    </row>
    <row r="17" spans="2:19" ht="12.75">
      <c r="B17" s="14" t="s">
        <v>10</v>
      </c>
      <c r="C17" s="6"/>
      <c r="D17" s="69" t="s">
        <v>52</v>
      </c>
      <c r="E17" s="15"/>
      <c r="F17" s="6"/>
      <c r="G17">
        <f t="shared" si="5"/>
        <v>9</v>
      </c>
      <c r="H17" s="23">
        <f t="shared" si="0"/>
        <v>135</v>
      </c>
      <c r="I17" s="70">
        <f t="shared" si="6"/>
        <v>113.18827582347801</v>
      </c>
      <c r="J17" s="71"/>
      <c r="K17" s="34">
        <f t="shared" si="1"/>
        <v>255</v>
      </c>
      <c r="L17" s="34">
        <f t="shared" si="2"/>
        <v>185</v>
      </c>
      <c r="M17" s="34"/>
      <c r="N17" s="70">
        <f t="shared" si="7"/>
        <v>113.18827582347801</v>
      </c>
      <c r="O17" s="34"/>
      <c r="P17" s="34">
        <f t="shared" si="3"/>
        <v>255</v>
      </c>
      <c r="Q17" s="34">
        <f t="shared" si="4"/>
        <v>185</v>
      </c>
      <c r="R17"/>
      <c r="S17" s="14"/>
    </row>
    <row r="18" spans="2:19" ht="12.75">
      <c r="B18" s="14" t="s">
        <v>11</v>
      </c>
      <c r="C18" s="6"/>
      <c r="D18" s="69" t="s">
        <v>52</v>
      </c>
      <c r="E18" s="15"/>
      <c r="F18" s="6"/>
      <c r="G18">
        <f t="shared" si="5"/>
        <v>10</v>
      </c>
      <c r="H18" s="23">
        <f t="shared" si="0"/>
        <v>150</v>
      </c>
      <c r="I18" s="70">
        <f t="shared" si="6"/>
        <v>129.12142420041621</v>
      </c>
      <c r="J18" s="71"/>
      <c r="K18" s="34">
        <f t="shared" si="1"/>
        <v>255</v>
      </c>
      <c r="L18" s="34">
        <f t="shared" si="2"/>
        <v>185</v>
      </c>
      <c r="M18" s="34"/>
      <c r="N18" s="70">
        <f t="shared" si="7"/>
        <v>129.12142420041621</v>
      </c>
      <c r="O18" s="71"/>
      <c r="P18" s="34">
        <f t="shared" si="3"/>
        <v>255</v>
      </c>
      <c r="Q18" s="34">
        <f t="shared" si="4"/>
        <v>185</v>
      </c>
      <c r="R18"/>
      <c r="S18" s="14"/>
    </row>
    <row r="19" spans="2:19" ht="12.75">
      <c r="B19" s="14" t="s">
        <v>12</v>
      </c>
      <c r="C19" s="6"/>
      <c r="D19" s="69" t="s">
        <v>52</v>
      </c>
      <c r="E19" s="15"/>
      <c r="F19"/>
      <c r="G19">
        <f t="shared" si="5"/>
        <v>11</v>
      </c>
      <c r="H19" s="23">
        <f t="shared" si="0"/>
        <v>165</v>
      </c>
      <c r="I19" s="70">
        <f t="shared" si="6"/>
        <v>145.4585198854985</v>
      </c>
      <c r="J19" s="71"/>
      <c r="K19" s="34">
        <f t="shared" si="1"/>
        <v>255</v>
      </c>
      <c r="L19" s="34">
        <f t="shared" si="2"/>
        <v>185</v>
      </c>
      <c r="M19" s="34"/>
      <c r="N19" s="70">
        <f t="shared" si="7"/>
        <v>145.4585198854985</v>
      </c>
      <c r="O19" s="71"/>
      <c r="P19" s="34">
        <f t="shared" si="3"/>
        <v>255</v>
      </c>
      <c r="Q19" s="34">
        <f t="shared" si="4"/>
        <v>185</v>
      </c>
      <c r="R19"/>
      <c r="S19" s="14"/>
    </row>
    <row r="20" spans="2:19" ht="12.75">
      <c r="B20" s="16"/>
      <c r="C20" s="4"/>
      <c r="D20" s="19"/>
      <c r="E20" s="20"/>
      <c r="F20"/>
      <c r="G20">
        <f t="shared" si="5"/>
        <v>12</v>
      </c>
      <c r="H20" s="23">
        <f t="shared" si="0"/>
        <v>180</v>
      </c>
      <c r="I20" s="70">
        <f t="shared" si="6"/>
        <v>162.17162377981182</v>
      </c>
      <c r="J20" s="71"/>
      <c r="K20" s="34">
        <f t="shared" si="1"/>
        <v>255</v>
      </c>
      <c r="L20" s="34">
        <f t="shared" si="2"/>
        <v>185</v>
      </c>
      <c r="M20" s="34"/>
      <c r="N20" s="70">
        <f t="shared" si="7"/>
        <v>162.17162377981182</v>
      </c>
      <c r="O20" s="71"/>
      <c r="P20" s="34">
        <f t="shared" si="3"/>
        <v>255</v>
      </c>
      <c r="Q20" s="34">
        <f t="shared" si="4"/>
        <v>185</v>
      </c>
      <c r="R20"/>
      <c r="S20" s="14"/>
    </row>
    <row r="21" spans="2:19" ht="12.75">
      <c r="B21"/>
      <c r="C21"/>
      <c r="D21" s="1"/>
      <c r="E21"/>
      <c r="F21" s="6"/>
      <c r="G21">
        <f t="shared" si="5"/>
        <v>13</v>
      </c>
      <c r="H21" s="23">
        <f t="shared" si="0"/>
        <v>195</v>
      </c>
      <c r="I21" s="70">
        <f t="shared" si="6"/>
        <v>179.23693057354856</v>
      </c>
      <c r="J21" s="71"/>
      <c r="K21" s="34">
        <f t="shared" si="1"/>
        <v>255</v>
      </c>
      <c r="L21" s="34">
        <f t="shared" si="2"/>
        <v>185</v>
      </c>
      <c r="M21" s="34"/>
      <c r="N21" s="70">
        <f t="shared" si="7"/>
        <v>179.23693057354856</v>
      </c>
      <c r="O21" s="71"/>
      <c r="P21" s="34">
        <f t="shared" si="3"/>
        <v>255</v>
      </c>
      <c r="Q21" s="34">
        <f t="shared" si="4"/>
        <v>185</v>
      </c>
      <c r="R21"/>
      <c r="S21" s="14"/>
    </row>
    <row r="22" spans="2:19" ht="12.75">
      <c r="B22"/>
      <c r="C22"/>
      <c r="D22" s="1"/>
      <c r="E22"/>
      <c r="F22" s="6"/>
      <c r="G22">
        <f t="shared" si="5"/>
        <v>14</v>
      </c>
      <c r="H22" s="23">
        <f t="shared" si="0"/>
        <v>210</v>
      </c>
      <c r="I22" s="70">
        <f t="shared" si="6"/>
        <v>196.633881537841</v>
      </c>
      <c r="J22" s="71"/>
      <c r="K22" s="34">
        <f t="shared" si="1"/>
        <v>255</v>
      </c>
      <c r="L22" s="34">
        <f t="shared" si="2"/>
        <v>185</v>
      </c>
      <c r="M22" s="34"/>
      <c r="N22" s="70">
        <f t="shared" si="7"/>
        <v>196.633881537841</v>
      </c>
      <c r="O22" s="71"/>
      <c r="P22" s="34">
        <f t="shared" si="3"/>
        <v>255</v>
      </c>
      <c r="Q22" s="34">
        <f t="shared" si="4"/>
        <v>185</v>
      </c>
      <c r="R22"/>
      <c r="S22" s="14"/>
    </row>
    <row r="23" spans="2:19" ht="12.75">
      <c r="B23" s="6"/>
      <c r="C23" s="6"/>
      <c r="D23" s="66"/>
      <c r="E23" s="22"/>
      <c r="F23" s="42"/>
      <c r="G23">
        <f t="shared" si="5"/>
        <v>15</v>
      </c>
      <c r="H23" s="23">
        <f t="shared" si="0"/>
        <v>225</v>
      </c>
      <c r="I23" s="70">
        <f t="shared" si="6"/>
        <v>214.34451841283465</v>
      </c>
      <c r="J23" s="71"/>
      <c r="K23" s="34">
        <f t="shared" si="1"/>
        <v>255</v>
      </c>
      <c r="L23" s="34">
        <f t="shared" si="2"/>
        <v>185</v>
      </c>
      <c r="M23" s="34"/>
      <c r="N23" s="70">
        <f t="shared" si="7"/>
        <v>214.34451841283465</v>
      </c>
      <c r="O23" s="71"/>
      <c r="P23" s="34">
        <f t="shared" si="3"/>
        <v>255</v>
      </c>
      <c r="Q23" s="34">
        <f t="shared" si="4"/>
        <v>185</v>
      </c>
      <c r="R23"/>
      <c r="S23" s="14"/>
    </row>
    <row r="24" spans="2:19" ht="12.75">
      <c r="B24" s="6"/>
      <c r="C24" s="6"/>
      <c r="D24" s="6"/>
      <c r="E24" s="6"/>
      <c r="F24" s="42"/>
      <c r="G24">
        <f t="shared" si="5"/>
        <v>16</v>
      </c>
      <c r="H24" s="23">
        <f t="shared" si="0"/>
        <v>240</v>
      </c>
      <c r="I24" s="70">
        <f t="shared" si="6"/>
        <v>232.35300094504763</v>
      </c>
      <c r="J24" s="71"/>
      <c r="K24" s="34">
        <f t="shared" si="1"/>
        <v>255</v>
      </c>
      <c r="L24" s="34">
        <f t="shared" si="2"/>
        <v>185</v>
      </c>
      <c r="M24" s="34"/>
      <c r="N24" s="70">
        <f t="shared" si="7"/>
        <v>232.35300094504763</v>
      </c>
      <c r="O24" s="71"/>
      <c r="P24" s="34">
        <f t="shared" si="3"/>
        <v>255</v>
      </c>
      <c r="Q24" s="34">
        <f t="shared" si="4"/>
        <v>185</v>
      </c>
      <c r="R24"/>
      <c r="S24" s="14"/>
    </row>
    <row r="25" spans="2:19" ht="12.75">
      <c r="B25" s="6"/>
      <c r="C25" s="6"/>
      <c r="D25" s="30"/>
      <c r="E25" s="6"/>
      <c r="F25" s="42"/>
      <c r="G25">
        <f t="shared" si="5"/>
        <v>17</v>
      </c>
      <c r="H25" s="23">
        <f t="shared" si="0"/>
        <v>255</v>
      </c>
      <c r="I25" s="70">
        <f t="shared" si="6"/>
        <v>250.6452388561803</v>
      </c>
      <c r="J25" s="71"/>
      <c r="K25" s="34">
        <f t="shared" si="1"/>
        <v>255</v>
      </c>
      <c r="L25" s="34">
        <f t="shared" si="2"/>
        <v>185</v>
      </c>
      <c r="M25" s="34"/>
      <c r="N25" s="70">
        <f t="shared" si="7"/>
        <v>250.6452388561803</v>
      </c>
      <c r="O25" s="71"/>
      <c r="P25" s="34">
        <f t="shared" si="3"/>
        <v>255</v>
      </c>
      <c r="Q25" s="34">
        <f t="shared" si="4"/>
        <v>185</v>
      </c>
      <c r="R25"/>
      <c r="S25" s="14"/>
    </row>
    <row r="26" spans="2:19" ht="12.75">
      <c r="B26" s="6"/>
      <c r="C26" s="6"/>
      <c r="D26" s="30"/>
      <c r="E26" s="34"/>
      <c r="F26" s="6"/>
      <c r="G26">
        <f t="shared" si="5"/>
        <v>18</v>
      </c>
      <c r="H26" s="23">
        <f t="shared" si="0"/>
        <v>270</v>
      </c>
      <c r="I26" s="70">
        <f t="shared" si="6"/>
        <v>269.2086058883412</v>
      </c>
      <c r="J26" s="71"/>
      <c r="K26" s="34">
        <f t="shared" si="1"/>
        <v>255</v>
      </c>
      <c r="L26" s="34">
        <f t="shared" si="2"/>
        <v>185</v>
      </c>
      <c r="M26" s="34"/>
      <c r="N26" s="70">
        <f t="shared" si="7"/>
        <v>269.2086058883412</v>
      </c>
      <c r="O26" s="71"/>
      <c r="P26" s="34">
        <f t="shared" si="3"/>
        <v>255</v>
      </c>
      <c r="Q26" s="34">
        <f t="shared" si="4"/>
        <v>185</v>
      </c>
      <c r="R26"/>
      <c r="S26" s="14"/>
    </row>
    <row r="27" spans="2:19" ht="12.75">
      <c r="B27" s="6"/>
      <c r="C27" s="6"/>
      <c r="E27" s="34"/>
      <c r="F27" s="6"/>
      <c r="G27">
        <f t="shared" si="5"/>
        <v>19</v>
      </c>
      <c r="H27" s="23">
        <f t="shared" si="0"/>
        <v>285</v>
      </c>
      <c r="I27" s="70">
        <f t="shared" si="6"/>
        <v>288.031714028843</v>
      </c>
      <c r="J27" s="71"/>
      <c r="K27" s="34">
        <f t="shared" si="1"/>
        <v>255</v>
      </c>
      <c r="L27" s="34">
        <f t="shared" si="2"/>
        <v>185</v>
      </c>
      <c r="M27" s="34"/>
      <c r="N27" s="70">
        <f t="shared" si="7"/>
        <v>288.031714028843</v>
      </c>
      <c r="O27" s="71"/>
      <c r="P27" s="34">
        <f t="shared" si="3"/>
        <v>255</v>
      </c>
      <c r="Q27" s="34">
        <f t="shared" si="4"/>
        <v>185</v>
      </c>
      <c r="R27"/>
      <c r="S27" s="14"/>
    </row>
    <row r="28" spans="1:19" ht="12.75">
      <c r="A28" s="31"/>
      <c r="B28" s="6"/>
      <c r="C28" s="6"/>
      <c r="D28" s="35"/>
      <c r="E28" s="34"/>
      <c r="F28" s="42"/>
      <c r="G28">
        <f t="shared" si="5"/>
        <v>20</v>
      </c>
      <c r="H28" s="23">
        <f t="shared" si="0"/>
        <v>300</v>
      </c>
      <c r="I28" s="70">
        <f t="shared" si="6"/>
        <v>307.10423271683914</v>
      </c>
      <c r="J28" s="71"/>
      <c r="K28" s="34">
        <f t="shared" si="1"/>
        <v>255</v>
      </c>
      <c r="L28" s="34">
        <f t="shared" si="2"/>
        <v>185</v>
      </c>
      <c r="M28" s="34"/>
      <c r="N28" s="70">
        <f t="shared" si="7"/>
        <v>307.10423271683914</v>
      </c>
      <c r="O28" s="71"/>
      <c r="P28" s="34">
        <f t="shared" si="3"/>
        <v>255</v>
      </c>
      <c r="Q28" s="34">
        <f t="shared" si="4"/>
        <v>185</v>
      </c>
      <c r="R28"/>
      <c r="S28" s="14"/>
    </row>
    <row r="29" spans="1:19" ht="12.75">
      <c r="A29" s="31"/>
      <c r="B29" s="6"/>
      <c r="C29" s="6"/>
      <c r="D29" s="7"/>
      <c r="E29" s="7"/>
      <c r="F29" s="42"/>
      <c r="G29">
        <f t="shared" si="5"/>
        <v>21</v>
      </c>
      <c r="H29" s="23">
        <f t="shared" si="0"/>
        <v>315</v>
      </c>
      <c r="I29" s="70">
        <f t="shared" si="6"/>
        <v>326.416742247635</v>
      </c>
      <c r="J29" s="71"/>
      <c r="K29" s="34">
        <f t="shared" si="1"/>
        <v>255</v>
      </c>
      <c r="L29" s="34">
        <f t="shared" si="2"/>
        <v>185</v>
      </c>
      <c r="M29" s="34"/>
      <c r="N29" s="70">
        <f t="shared" si="7"/>
        <v>326.416742247635</v>
      </c>
      <c r="O29" s="71"/>
      <c r="P29" s="34">
        <f t="shared" si="3"/>
        <v>255</v>
      </c>
      <c r="Q29" s="34">
        <f t="shared" si="4"/>
        <v>185</v>
      </c>
      <c r="R29"/>
      <c r="S29" s="14"/>
    </row>
    <row r="30" spans="1:19" ht="12.75">
      <c r="A30" s="33"/>
      <c r="C30" s="6"/>
      <c r="D30" s="7"/>
      <c r="E30" s="7"/>
      <c r="F30"/>
      <c r="G30">
        <f t="shared" si="5"/>
        <v>22</v>
      </c>
      <c r="H30" s="23">
        <f t="shared" si="0"/>
        <v>330</v>
      </c>
      <c r="I30" s="70">
        <f t="shared" si="6"/>
        <v>345.9606135711994</v>
      </c>
      <c r="J30" s="71"/>
      <c r="K30" s="34">
        <f t="shared" si="1"/>
        <v>255</v>
      </c>
      <c r="L30" s="34">
        <f t="shared" si="2"/>
        <v>185</v>
      </c>
      <c r="M30" s="34"/>
      <c r="N30" s="70">
        <f t="shared" si="7"/>
        <v>345.9606135711994</v>
      </c>
      <c r="O30" s="71"/>
      <c r="P30" s="34">
        <f t="shared" si="3"/>
        <v>255</v>
      </c>
      <c r="Q30" s="34">
        <f t="shared" si="4"/>
        <v>185</v>
      </c>
      <c r="R30"/>
      <c r="S30" s="14"/>
    </row>
    <row r="31" spans="1:19" ht="12.75">
      <c r="A31" s="33"/>
      <c r="B31" s="42"/>
      <c r="C31" s="6"/>
      <c r="D31" s="34"/>
      <c r="E31" s="34"/>
      <c r="F31"/>
      <c r="G31">
        <f t="shared" si="5"/>
        <v>23</v>
      </c>
      <c r="H31" s="23">
        <f t="shared" si="0"/>
        <v>345</v>
      </c>
      <c r="I31" s="70">
        <f t="shared" si="6"/>
        <v>365.727908738913</v>
      </c>
      <c r="J31" s="71"/>
      <c r="K31" s="34">
        <f t="shared" si="1"/>
        <v>255</v>
      </c>
      <c r="L31" s="34">
        <f t="shared" si="2"/>
        <v>185</v>
      </c>
      <c r="M31" s="34"/>
      <c r="N31" s="70">
        <f t="shared" si="7"/>
        <v>365.727908738913</v>
      </c>
      <c r="O31" s="71"/>
      <c r="P31" s="34">
        <f t="shared" si="3"/>
        <v>255</v>
      </c>
      <c r="Q31" s="34">
        <f t="shared" si="4"/>
        <v>185</v>
      </c>
      <c r="R31"/>
      <c r="S31" s="14"/>
    </row>
    <row r="32" spans="1:19" ht="12.75">
      <c r="A32" s="31"/>
      <c r="F32"/>
      <c r="G32">
        <f t="shared" si="5"/>
        <v>24</v>
      </c>
      <c r="H32" s="23">
        <f t="shared" si="0"/>
        <v>360</v>
      </c>
      <c r="I32" s="70">
        <f t="shared" si="6"/>
        <v>385.7112977009936</v>
      </c>
      <c r="J32" s="71"/>
      <c r="K32" s="34">
        <f t="shared" si="1"/>
        <v>255</v>
      </c>
      <c r="L32" s="34">
        <f t="shared" si="2"/>
        <v>185</v>
      </c>
      <c r="M32" s="34"/>
      <c r="N32" s="70">
        <f t="shared" si="7"/>
        <v>385.7112977009936</v>
      </c>
      <c r="O32" s="71"/>
      <c r="P32" s="34">
        <f t="shared" si="3"/>
        <v>255</v>
      </c>
      <c r="Q32" s="34">
        <f t="shared" si="4"/>
        <v>185</v>
      </c>
      <c r="R32"/>
      <c r="S32" s="14"/>
    </row>
    <row r="33" spans="2:19" ht="12.75">
      <c r="B33"/>
      <c r="C33"/>
      <c r="D33"/>
      <c r="E33"/>
      <c r="F33"/>
      <c r="G33">
        <f t="shared" si="5"/>
        <v>25</v>
      </c>
      <c r="H33" s="23">
        <f t="shared" si="0"/>
        <v>375</v>
      </c>
      <c r="I33" s="70">
        <f t="shared" si="6"/>
        <v>405.90398819468675</v>
      </c>
      <c r="J33" s="71"/>
      <c r="K33" s="34">
        <f t="shared" si="1"/>
        <v>255</v>
      </c>
      <c r="L33" s="34">
        <f t="shared" si="2"/>
        <v>185</v>
      </c>
      <c r="M33" s="34"/>
      <c r="N33" s="70">
        <f t="shared" si="7"/>
        <v>405.90398819468675</v>
      </c>
      <c r="O33" s="71"/>
      <c r="P33" s="34">
        <f t="shared" si="3"/>
        <v>255</v>
      </c>
      <c r="Q33" s="34">
        <f t="shared" si="4"/>
        <v>185</v>
      </c>
      <c r="R33"/>
      <c r="S33" s="14"/>
    </row>
    <row r="34" spans="2:19" ht="12.75">
      <c r="B34"/>
      <c r="C34"/>
      <c r="D34"/>
      <c r="E34"/>
      <c r="F34"/>
      <c r="G34">
        <f t="shared" si="5"/>
        <v>26</v>
      </c>
      <c r="H34" s="23">
        <f t="shared" si="0"/>
        <v>390</v>
      </c>
      <c r="I34" s="70">
        <f t="shared" si="6"/>
        <v>426.29966621862525</v>
      </c>
      <c r="J34" s="71"/>
      <c r="K34" s="34">
        <f t="shared" si="1"/>
        <v>255</v>
      </c>
      <c r="L34" s="34">
        <f t="shared" si="2"/>
        <v>185</v>
      </c>
      <c r="M34" s="34"/>
      <c r="N34" s="70">
        <f t="shared" si="7"/>
        <v>426.29966621862525</v>
      </c>
      <c r="O34" s="71"/>
      <c r="P34" s="34">
        <f t="shared" si="3"/>
        <v>255</v>
      </c>
      <c r="Q34" s="34">
        <f t="shared" si="4"/>
        <v>185</v>
      </c>
      <c r="R34"/>
      <c r="S34" s="14"/>
    </row>
    <row r="35" spans="2:19" ht="12.75">
      <c r="B35"/>
      <c r="C35"/>
      <c r="D35"/>
      <c r="E35"/>
      <c r="F35"/>
      <c r="G35">
        <f t="shared" si="5"/>
        <v>27</v>
      </c>
      <c r="H35" s="23">
        <f t="shared" si="0"/>
        <v>405</v>
      </c>
      <c r="I35" s="70">
        <f t="shared" si="6"/>
        <v>446.8924451465347</v>
      </c>
      <c r="J35" s="71"/>
      <c r="K35" s="34">
        <f t="shared" si="1"/>
        <v>255</v>
      </c>
      <c r="L35" s="34">
        <f t="shared" si="2"/>
        <v>185</v>
      </c>
      <c r="M35" s="34"/>
      <c r="N35" s="70">
        <f t="shared" si="7"/>
        <v>446.8924451465347</v>
      </c>
      <c r="O35" s="71"/>
      <c r="P35" s="34">
        <f t="shared" si="3"/>
        <v>255</v>
      </c>
      <c r="Q35" s="34">
        <f t="shared" si="4"/>
        <v>185</v>
      </c>
      <c r="R35"/>
      <c r="S35" s="14"/>
    </row>
    <row r="36" spans="2:19" ht="12.75">
      <c r="B36"/>
      <c r="C36"/>
      <c r="D36"/>
      <c r="E36"/>
      <c r="F36"/>
      <c r="G36">
        <f t="shared" si="5"/>
        <v>28</v>
      </c>
      <c r="H36" s="23">
        <f t="shared" si="0"/>
        <v>420</v>
      </c>
      <c r="I36" s="70">
        <f t="shared" si="6"/>
        <v>467.6768219508053</v>
      </c>
      <c r="J36" s="71"/>
      <c r="K36" s="34">
        <f t="shared" si="1"/>
        <v>255</v>
      </c>
      <c r="L36" s="34">
        <f t="shared" si="2"/>
        <v>185</v>
      </c>
      <c r="M36" s="34"/>
      <c r="N36" s="70">
        <f t="shared" si="7"/>
        <v>467.6768219508053</v>
      </c>
      <c r="O36" s="71"/>
      <c r="P36" s="34">
        <f t="shared" si="3"/>
        <v>255</v>
      </c>
      <c r="Q36" s="34">
        <f t="shared" si="4"/>
        <v>185</v>
      </c>
      <c r="R36"/>
      <c r="S36" s="14"/>
    </row>
    <row r="37" spans="2:19" ht="12.75">
      <c r="B37"/>
      <c r="C37"/>
      <c r="D37"/>
      <c r="E37"/>
      <c r="F37"/>
      <c r="G37">
        <f t="shared" si="5"/>
        <v>29</v>
      </c>
      <c r="H37" s="23">
        <f t="shared" si="0"/>
        <v>435</v>
      </c>
      <c r="I37" s="70">
        <f t="shared" si="6"/>
        <v>488.647639322546</v>
      </c>
      <c r="J37" s="71"/>
      <c r="K37" s="34">
        <f t="shared" si="1"/>
        <v>255</v>
      </c>
      <c r="L37" s="34">
        <f t="shared" si="2"/>
        <v>185</v>
      </c>
      <c r="M37" s="34"/>
      <c r="N37" s="70">
        <f t="shared" si="7"/>
        <v>488.647639322546</v>
      </c>
      <c r="O37" s="71"/>
      <c r="P37" s="34">
        <f t="shared" si="3"/>
        <v>255</v>
      </c>
      <c r="Q37" s="34">
        <f t="shared" si="4"/>
        <v>185</v>
      </c>
      <c r="R37"/>
      <c r="S37" s="14"/>
    </row>
    <row r="38" spans="2:19" ht="12.75">
      <c r="B38"/>
      <c r="C38"/>
      <c r="D38"/>
      <c r="E38"/>
      <c r="F38"/>
      <c r="G38">
        <f t="shared" si="5"/>
        <v>30</v>
      </c>
      <c r="H38" s="23">
        <f t="shared" si="0"/>
        <v>450</v>
      </c>
      <c r="I38" s="70">
        <f t="shared" si="6"/>
        <v>509.80005271674924</v>
      </c>
      <c r="J38" s="71"/>
      <c r="K38" s="34">
        <f t="shared" si="1"/>
        <v>255</v>
      </c>
      <c r="L38" s="34">
        <f t="shared" si="2"/>
        <v>185</v>
      </c>
      <c r="M38" s="34"/>
      <c r="N38" s="70">
        <f t="shared" si="7"/>
        <v>509.80005271674924</v>
      </c>
      <c r="O38" s="71"/>
      <c r="P38" s="34">
        <f t="shared" si="3"/>
        <v>255</v>
      </c>
      <c r="Q38" s="34">
        <f t="shared" si="4"/>
        <v>185</v>
      </c>
      <c r="R38"/>
      <c r="S38" s="14"/>
    </row>
    <row r="39" spans="2:19" ht="12.75">
      <c r="B39"/>
      <c r="C39"/>
      <c r="D39"/>
      <c r="E39"/>
      <c r="F39"/>
      <c r="G39">
        <f t="shared" si="5"/>
        <v>31</v>
      </c>
      <c r="H39" s="23">
        <f t="shared" si="0"/>
        <v>465</v>
      </c>
      <c r="I39" s="70">
        <f t="shared" si="6"/>
        <v>531.129501538473</v>
      </c>
      <c r="J39" s="71"/>
      <c r="K39" s="34">
        <f t="shared" si="1"/>
        <v>255</v>
      </c>
      <c r="L39" s="34">
        <f t="shared" si="2"/>
        <v>185</v>
      </c>
      <c r="M39" s="34"/>
      <c r="N39" s="70">
        <f t="shared" si="7"/>
        <v>531.129501538473</v>
      </c>
      <c r="O39" s="71"/>
      <c r="P39" s="34">
        <f t="shared" si="3"/>
        <v>255</v>
      </c>
      <c r="Q39" s="34">
        <f t="shared" si="4"/>
        <v>185</v>
      </c>
      <c r="R39"/>
      <c r="S39" s="14"/>
    </row>
    <row r="40" spans="2:19" ht="12.75">
      <c r="B40"/>
      <c r="C40"/>
      <c r="D40"/>
      <c r="E40"/>
      <c r="F40"/>
      <c r="G40">
        <f t="shared" si="5"/>
        <v>32</v>
      </c>
      <c r="H40" s="23">
        <f t="shared" si="0"/>
        <v>480</v>
      </c>
      <c r="I40" s="70">
        <f t="shared" si="6"/>
        <v>552.6316838321691</v>
      </c>
      <c r="J40" s="71"/>
      <c r="K40" s="34">
        <f t="shared" si="1"/>
        <v>255</v>
      </c>
      <c r="L40" s="34">
        <f t="shared" si="2"/>
        <v>185</v>
      </c>
      <c r="M40" s="34"/>
      <c r="N40" s="70">
        <f t="shared" si="7"/>
        <v>552.6316838321691</v>
      </c>
      <c r="O40" s="71"/>
      <c r="P40" s="34">
        <f t="shared" si="3"/>
        <v>255</v>
      </c>
      <c r="Q40" s="34">
        <f t="shared" si="4"/>
        <v>185</v>
      </c>
      <c r="R40"/>
      <c r="S40" s="14"/>
    </row>
    <row r="41" spans="2:19" ht="12.75">
      <c r="B41"/>
      <c r="C41"/>
      <c r="D41"/>
      <c r="E41"/>
      <c r="F41"/>
      <c r="G41">
        <f t="shared" si="5"/>
        <v>33</v>
      </c>
      <c r="H41" s="23">
        <f t="shared" si="0"/>
        <v>495</v>
      </c>
      <c r="I41" s="70">
        <f t="shared" si="6"/>
        <v>574.3025339515137</v>
      </c>
      <c r="J41" s="71"/>
      <c r="K41" s="34">
        <f aca="true" t="shared" si="8" ref="K41:K72">P_cf_w0_ksh</f>
        <v>255</v>
      </c>
      <c r="L41" s="34">
        <f aca="true" t="shared" si="9" ref="L41:L72">EPP_cf</f>
        <v>185</v>
      </c>
      <c r="M41" s="34"/>
      <c r="N41" s="70">
        <f t="shared" si="7"/>
        <v>574.3025339515137</v>
      </c>
      <c r="O41" s="71"/>
      <c r="P41" s="34">
        <f aca="true" t="shared" si="10" ref="P41:P72">P_cf_w1_ksh</f>
        <v>255</v>
      </c>
      <c r="Q41" s="34">
        <f aca="true" t="shared" si="11" ref="Q41:Q72">EPP_cf_after</f>
        <v>185</v>
      </c>
      <c r="R41"/>
      <c r="S41" s="14"/>
    </row>
    <row r="42" spans="2:19" ht="12.75">
      <c r="B42"/>
      <c r="C42"/>
      <c r="D42"/>
      <c r="E42"/>
      <c r="F42"/>
      <c r="G42">
        <f t="shared" si="5"/>
        <v>34</v>
      </c>
      <c r="H42" s="23">
        <f t="shared" si="0"/>
        <v>510</v>
      </c>
      <c r="I42" s="70">
        <f t="shared" si="6"/>
        <v>596.138202778652</v>
      </c>
      <c r="J42" s="71"/>
      <c r="K42" s="34">
        <f t="shared" si="8"/>
        <v>255</v>
      </c>
      <c r="L42" s="34">
        <f t="shared" si="9"/>
        <v>185</v>
      </c>
      <c r="M42" s="34"/>
      <c r="N42" s="70">
        <f t="shared" si="7"/>
        <v>596.138202778652</v>
      </c>
      <c r="O42" s="71"/>
      <c r="P42" s="34">
        <f t="shared" si="10"/>
        <v>255</v>
      </c>
      <c r="Q42" s="34">
        <f t="shared" si="11"/>
        <v>185</v>
      </c>
      <c r="R42"/>
      <c r="S42" s="14"/>
    </row>
    <row r="43" spans="2:19" ht="12.75">
      <c r="B43"/>
      <c r="C43"/>
      <c r="D43"/>
      <c r="E43"/>
      <c r="F43"/>
      <c r="G43">
        <f t="shared" si="5"/>
        <v>35</v>
      </c>
      <c r="H43" s="23">
        <f t="shared" si="0"/>
        <v>525</v>
      </c>
      <c r="I43" s="70">
        <f t="shared" si="6"/>
        <v>618.1350401349877</v>
      </c>
      <c r="J43" s="71"/>
      <c r="K43" s="34">
        <f t="shared" si="8"/>
        <v>255</v>
      </c>
      <c r="L43" s="34">
        <f t="shared" si="9"/>
        <v>185</v>
      </c>
      <c r="M43" s="34"/>
      <c r="N43" s="70">
        <f t="shared" si="7"/>
        <v>618.1350401349877</v>
      </c>
      <c r="O43" s="71"/>
      <c r="P43" s="34">
        <f t="shared" si="10"/>
        <v>255</v>
      </c>
      <c r="Q43" s="34">
        <f t="shared" si="11"/>
        <v>185</v>
      </c>
      <c r="R43"/>
      <c r="S43" s="14"/>
    </row>
    <row r="44" spans="2:19" ht="12.75">
      <c r="B44"/>
      <c r="C44"/>
      <c r="D44"/>
      <c r="E44"/>
      <c r="F44"/>
      <c r="G44">
        <f t="shared" si="5"/>
        <v>36</v>
      </c>
      <c r="H44" s="23">
        <f t="shared" si="0"/>
        <v>540</v>
      </c>
      <c r="I44" s="70">
        <f aca="true" t="shared" si="12" ref="I44:I75">EXP((LN($H44)-SAalpha_cf-Sbeta_cf_mz*LN(P_mz_0)-LN(Yield_cf))/Sbeta_cf)</f>
        <v>640.2895790847573</v>
      </c>
      <c r="J44" s="71"/>
      <c r="K44" s="34">
        <f t="shared" si="8"/>
        <v>255</v>
      </c>
      <c r="L44" s="34">
        <f t="shared" si="9"/>
        <v>185</v>
      </c>
      <c r="M44" s="34"/>
      <c r="N44" s="70">
        <f aca="true" t="shared" si="13" ref="N44:N75">EXP((LN($H44)-SAalpha_cf-Sbeta_cf_mz*LN(P_mz_1)-LN(Yield_cf1))/Sbeta_cf)</f>
        <v>640.2895790847573</v>
      </c>
      <c r="O44" s="71"/>
      <c r="P44" s="34">
        <f t="shared" si="10"/>
        <v>255</v>
      </c>
      <c r="Q44" s="34">
        <f t="shared" si="11"/>
        <v>185</v>
      </c>
      <c r="R44"/>
      <c r="S44" s="14"/>
    </row>
    <row r="45" spans="2:19" ht="12.75">
      <c r="B45"/>
      <c r="C45"/>
      <c r="D45"/>
      <c r="E45"/>
      <c r="F45"/>
      <c r="G45">
        <f t="shared" si="5"/>
        <v>37</v>
      </c>
      <c r="H45" s="23">
        <f t="shared" si="0"/>
        <v>555</v>
      </c>
      <c r="I45" s="70">
        <f t="shared" si="12"/>
        <v>662.5985218805431</v>
      </c>
      <c r="J45" s="71"/>
      <c r="K45" s="34">
        <f t="shared" si="8"/>
        <v>255</v>
      </c>
      <c r="L45" s="34">
        <f t="shared" si="9"/>
        <v>185</v>
      </c>
      <c r="M45" s="34"/>
      <c r="N45" s="70">
        <f t="shared" si="13"/>
        <v>662.5985218805431</v>
      </c>
      <c r="O45" s="71"/>
      <c r="P45" s="34">
        <f t="shared" si="10"/>
        <v>255</v>
      </c>
      <c r="Q45" s="34">
        <f t="shared" si="11"/>
        <v>185</v>
      </c>
      <c r="R45"/>
      <c r="S45" s="14"/>
    </row>
    <row r="46" spans="2:19" ht="12.75">
      <c r="B46"/>
      <c r="C46"/>
      <c r="D46"/>
      <c r="E46"/>
      <c r="F46"/>
      <c r="G46">
        <f t="shared" si="5"/>
        <v>38</v>
      </c>
      <c r="H46" s="23">
        <f t="shared" si="0"/>
        <v>570</v>
      </c>
      <c r="I46" s="70">
        <f t="shared" si="12"/>
        <v>685.0587273390588</v>
      </c>
      <c r="J46" s="71"/>
      <c r="K46" s="34">
        <f t="shared" si="8"/>
        <v>255</v>
      </c>
      <c r="L46" s="34">
        <f t="shared" si="9"/>
        <v>185</v>
      </c>
      <c r="M46" s="34"/>
      <c r="N46" s="70">
        <f t="shared" si="13"/>
        <v>685.0587273390588</v>
      </c>
      <c r="O46" s="71"/>
      <c r="P46" s="34">
        <f t="shared" si="10"/>
        <v>255</v>
      </c>
      <c r="Q46" s="34">
        <f t="shared" si="11"/>
        <v>185</v>
      </c>
      <c r="R46"/>
      <c r="S46" s="14"/>
    </row>
    <row r="47" spans="1:19" ht="12.75">
      <c r="A47" s="46"/>
      <c r="B47"/>
      <c r="C47"/>
      <c r="D47"/>
      <c r="E47"/>
      <c r="F47"/>
      <c r="G47">
        <f t="shared" si="5"/>
        <v>39</v>
      </c>
      <c r="H47" s="23">
        <f t="shared" si="0"/>
        <v>585</v>
      </c>
      <c r="I47" s="70">
        <f t="shared" si="12"/>
        <v>707.6671994676531</v>
      </c>
      <c r="J47" s="71"/>
      <c r="K47" s="34">
        <f t="shared" si="8"/>
        <v>255</v>
      </c>
      <c r="L47" s="34">
        <f t="shared" si="9"/>
        <v>185</v>
      </c>
      <c r="M47" s="34"/>
      <c r="N47" s="70">
        <f t="shared" si="13"/>
        <v>707.6671994676531</v>
      </c>
      <c r="O47" s="71"/>
      <c r="P47" s="34">
        <f t="shared" si="10"/>
        <v>255</v>
      </c>
      <c r="Q47" s="34">
        <f t="shared" si="11"/>
        <v>185</v>
      </c>
      <c r="R47"/>
      <c r="S47" s="14"/>
    </row>
    <row r="48" spans="2:19" ht="12.75">
      <c r="B48"/>
      <c r="C48"/>
      <c r="D48"/>
      <c r="E48"/>
      <c r="F48"/>
      <c r="G48">
        <f t="shared" si="5"/>
        <v>40</v>
      </c>
      <c r="H48" s="23">
        <f t="shared" si="0"/>
        <v>600</v>
      </c>
      <c r="I48" s="70">
        <f t="shared" si="12"/>
        <v>730.4210771886328</v>
      </c>
      <c r="J48" s="71"/>
      <c r="K48" s="34">
        <f t="shared" si="8"/>
        <v>255</v>
      </c>
      <c r="L48" s="34">
        <f t="shared" si="9"/>
        <v>185</v>
      </c>
      <c r="M48" s="34"/>
      <c r="N48" s="70">
        <f t="shared" si="13"/>
        <v>730.4210771886328</v>
      </c>
      <c r="O48" s="71"/>
      <c r="P48" s="34">
        <f t="shared" si="10"/>
        <v>255</v>
      </c>
      <c r="Q48" s="34">
        <f t="shared" si="11"/>
        <v>185</v>
      </c>
      <c r="R48"/>
      <c r="S48" s="14"/>
    </row>
    <row r="49" spans="2:19" ht="12.75">
      <c r="B49"/>
      <c r="C49"/>
      <c r="D49"/>
      <c r="E49"/>
      <c r="F49"/>
      <c r="G49">
        <f t="shared" si="5"/>
        <v>41</v>
      </c>
      <c r="H49" s="23">
        <f t="shared" si="0"/>
        <v>615</v>
      </c>
      <c r="I49" s="70">
        <f t="shared" si="12"/>
        <v>753.3176250305215</v>
      </c>
      <c r="J49" s="71"/>
      <c r="K49" s="34">
        <f t="shared" si="8"/>
        <v>255</v>
      </c>
      <c r="L49" s="34">
        <f t="shared" si="9"/>
        <v>185</v>
      </c>
      <c r="M49" s="34"/>
      <c r="N49" s="70">
        <f t="shared" si="13"/>
        <v>753.3176250305215</v>
      </c>
      <c r="O49" s="71"/>
      <c r="P49" s="34">
        <f t="shared" si="10"/>
        <v>255</v>
      </c>
      <c r="Q49" s="34">
        <f t="shared" si="11"/>
        <v>185</v>
      </c>
      <c r="R49"/>
      <c r="S49" s="14"/>
    </row>
    <row r="50" spans="2:19" ht="12.75">
      <c r="B50"/>
      <c r="C50"/>
      <c r="D50"/>
      <c r="E50"/>
      <c r="F50"/>
      <c r="G50">
        <f t="shared" si="5"/>
        <v>42</v>
      </c>
      <c r="H50" s="23">
        <f t="shared" si="0"/>
        <v>630</v>
      </c>
      <c r="I50" s="70">
        <f t="shared" si="12"/>
        <v>776.3542246737934</v>
      </c>
      <c r="J50" s="71"/>
      <c r="K50" s="34">
        <f t="shared" si="8"/>
        <v>255</v>
      </c>
      <c r="L50" s="34">
        <f t="shared" si="9"/>
        <v>185</v>
      </c>
      <c r="M50" s="34"/>
      <c r="N50" s="70">
        <f t="shared" si="13"/>
        <v>776.3542246737934</v>
      </c>
      <c r="O50" s="71"/>
      <c r="P50" s="34">
        <f t="shared" si="10"/>
        <v>255</v>
      </c>
      <c r="Q50" s="34">
        <f t="shared" si="11"/>
        <v>185</v>
      </c>
      <c r="R50"/>
      <c r="S50" s="14"/>
    </row>
    <row r="51" spans="2:19" ht="12.75">
      <c r="B51"/>
      <c r="C51"/>
      <c r="D51"/>
      <c r="E51"/>
      <c r="F51"/>
      <c r="G51">
        <f t="shared" si="5"/>
        <v>43</v>
      </c>
      <c r="H51" s="23">
        <f t="shared" si="0"/>
        <v>645</v>
      </c>
      <c r="I51" s="70">
        <f t="shared" si="12"/>
        <v>799.5283672541221</v>
      </c>
      <c r="J51" s="71"/>
      <c r="K51" s="34">
        <f t="shared" si="8"/>
        <v>255</v>
      </c>
      <c r="L51" s="34">
        <f t="shared" si="9"/>
        <v>185</v>
      </c>
      <c r="M51" s="34"/>
      <c r="N51" s="70">
        <f t="shared" si="13"/>
        <v>799.5283672541221</v>
      </c>
      <c r="O51" s="71"/>
      <c r="P51" s="34">
        <f t="shared" si="10"/>
        <v>255</v>
      </c>
      <c r="Q51" s="34">
        <f t="shared" si="11"/>
        <v>185</v>
      </c>
      <c r="R51"/>
      <c r="S51" s="14"/>
    </row>
    <row r="52" spans="2:19" ht="12.75">
      <c r="B52"/>
      <c r="C52"/>
      <c r="D52"/>
      <c r="E52"/>
      <c r="F52"/>
      <c r="G52">
        <f t="shared" si="5"/>
        <v>44</v>
      </c>
      <c r="H52" s="23">
        <f t="shared" si="0"/>
        <v>660</v>
      </c>
      <c r="I52" s="70">
        <f t="shared" si="12"/>
        <v>822.8376463391543</v>
      </c>
      <c r="J52" s="71"/>
      <c r="K52" s="34">
        <f t="shared" si="8"/>
        <v>255</v>
      </c>
      <c r="L52" s="34">
        <f t="shared" si="9"/>
        <v>185</v>
      </c>
      <c r="M52" s="34"/>
      <c r="N52" s="70">
        <f t="shared" si="13"/>
        <v>822.8376463391543</v>
      </c>
      <c r="O52" s="71"/>
      <c r="P52" s="34">
        <f t="shared" si="10"/>
        <v>255</v>
      </c>
      <c r="Q52" s="34">
        <f t="shared" si="11"/>
        <v>185</v>
      </c>
      <c r="R52"/>
      <c r="S52" s="14"/>
    </row>
    <row r="53" spans="2:19" ht="12.75">
      <c r="B53"/>
      <c r="C53"/>
      <c r="D53"/>
      <c r="E53"/>
      <c r="F53"/>
      <c r="G53">
        <f t="shared" si="5"/>
        <v>45</v>
      </c>
      <c r="H53" s="23">
        <f t="shared" si="0"/>
        <v>675</v>
      </c>
      <c r="I53" s="70">
        <f t="shared" si="12"/>
        <v>846.2797515058451</v>
      </c>
      <c r="J53" s="71"/>
      <c r="K53" s="34">
        <f t="shared" si="8"/>
        <v>255</v>
      </c>
      <c r="L53" s="34">
        <f t="shared" si="9"/>
        <v>185</v>
      </c>
      <c r="M53" s="34"/>
      <c r="N53" s="70">
        <f t="shared" si="13"/>
        <v>846.2797515058451</v>
      </c>
      <c r="O53" s="71"/>
      <c r="P53" s="34">
        <f t="shared" si="10"/>
        <v>255</v>
      </c>
      <c r="Q53" s="34">
        <f t="shared" si="11"/>
        <v>185</v>
      </c>
      <c r="R53"/>
      <c r="S53" s="14"/>
    </row>
    <row r="54" spans="2:19" ht="12.75">
      <c r="B54"/>
      <c r="C54"/>
      <c r="D54"/>
      <c r="E54"/>
      <c r="F54"/>
      <c r="G54">
        <f t="shared" si="5"/>
        <v>46</v>
      </c>
      <c r="H54" s="23">
        <f t="shared" si="0"/>
        <v>690</v>
      </c>
      <c r="I54" s="70">
        <f t="shared" si="12"/>
        <v>869.8524624547621</v>
      </c>
      <c r="J54" s="71"/>
      <c r="K54" s="34">
        <f t="shared" si="8"/>
        <v>255</v>
      </c>
      <c r="L54" s="34">
        <f t="shared" si="9"/>
        <v>185</v>
      </c>
      <c r="M54" s="34"/>
      <c r="N54" s="70">
        <f t="shared" si="13"/>
        <v>869.8524624547621</v>
      </c>
      <c r="O54" s="71"/>
      <c r="P54" s="34">
        <f t="shared" si="10"/>
        <v>255</v>
      </c>
      <c r="Q54" s="34">
        <f t="shared" si="11"/>
        <v>185</v>
      </c>
      <c r="R54"/>
      <c r="S54" s="14"/>
    </row>
    <row r="55" spans="2:19" ht="12.75">
      <c r="B55"/>
      <c r="C55"/>
      <c r="D55"/>
      <c r="E55"/>
      <c r="F55"/>
      <c r="G55">
        <f t="shared" si="5"/>
        <v>47</v>
      </c>
      <c r="H55" s="23">
        <f t="shared" si="0"/>
        <v>705</v>
      </c>
      <c r="I55" s="70">
        <f t="shared" si="12"/>
        <v>893.5536436057132</v>
      </c>
      <c r="J55" s="71"/>
      <c r="K55" s="34">
        <f t="shared" si="8"/>
        <v>255</v>
      </c>
      <c r="L55" s="34">
        <f t="shared" si="9"/>
        <v>185</v>
      </c>
      <c r="M55" s="34"/>
      <c r="N55" s="70">
        <f t="shared" si="13"/>
        <v>893.5536436057132</v>
      </c>
      <c r="O55" s="71"/>
      <c r="P55" s="34">
        <f t="shared" si="10"/>
        <v>255</v>
      </c>
      <c r="Q55" s="34">
        <f t="shared" si="11"/>
        <v>185</v>
      </c>
      <c r="R55"/>
      <c r="S55" s="14"/>
    </row>
    <row r="56" spans="2:19" ht="12.75">
      <c r="B56"/>
      <c r="C56"/>
      <c r="D56"/>
      <c r="E56"/>
      <c r="F56"/>
      <c r="G56">
        <f t="shared" si="5"/>
        <v>48</v>
      </c>
      <c r="H56" s="23">
        <f t="shared" si="0"/>
        <v>720</v>
      </c>
      <c r="I56" s="70">
        <f t="shared" si="12"/>
        <v>917.3812391259082</v>
      </c>
      <c r="J56" s="71"/>
      <c r="K56" s="34">
        <f t="shared" si="8"/>
        <v>255</v>
      </c>
      <c r="L56" s="34">
        <f t="shared" si="9"/>
        <v>185</v>
      </c>
      <c r="M56" s="34"/>
      <c r="N56" s="70">
        <f t="shared" si="13"/>
        <v>917.3812391259082</v>
      </c>
      <c r="O56" s="71"/>
      <c r="P56" s="34">
        <f t="shared" si="10"/>
        <v>255</v>
      </c>
      <c r="Q56" s="34">
        <f t="shared" si="11"/>
        <v>185</v>
      </c>
      <c r="R56"/>
      <c r="S56" s="14"/>
    </row>
    <row r="57" spans="2:19" ht="12.75">
      <c r="B57"/>
      <c r="C57"/>
      <c r="D57"/>
      <c r="E57"/>
      <c r="F57"/>
      <c r="G57">
        <f t="shared" si="5"/>
        <v>49</v>
      </c>
      <c r="H57" s="23">
        <f t="shared" si="0"/>
        <v>735</v>
      </c>
      <c r="I57" s="70">
        <f t="shared" si="12"/>
        <v>941.3332683477324</v>
      </c>
      <c r="J57" s="71"/>
      <c r="K57" s="34">
        <f t="shared" si="8"/>
        <v>255</v>
      </c>
      <c r="L57" s="34">
        <f t="shared" si="9"/>
        <v>185</v>
      </c>
      <c r="M57" s="34"/>
      <c r="N57" s="70">
        <f t="shared" si="13"/>
        <v>941.3332683477324</v>
      </c>
      <c r="O57" s="71"/>
      <c r="P57" s="34">
        <f t="shared" si="10"/>
        <v>255</v>
      </c>
      <c r="Q57" s="34">
        <f t="shared" si="11"/>
        <v>185</v>
      </c>
      <c r="R57"/>
      <c r="S57" s="14"/>
    </row>
    <row r="58" spans="2:19" ht="12.75">
      <c r="B58"/>
      <c r="C58"/>
      <c r="D58"/>
      <c r="E58"/>
      <c r="F58"/>
      <c r="G58">
        <f t="shared" si="5"/>
        <v>50</v>
      </c>
      <c r="H58" s="23">
        <f t="shared" si="0"/>
        <v>750</v>
      </c>
      <c r="I58" s="70">
        <f t="shared" si="12"/>
        <v>965.4078215382045</v>
      </c>
      <c r="J58" s="71"/>
      <c r="K58" s="34">
        <f t="shared" si="8"/>
        <v>255</v>
      </c>
      <c r="L58" s="34">
        <f t="shared" si="9"/>
        <v>185</v>
      </c>
      <c r="M58" s="34"/>
      <c r="N58" s="70">
        <f t="shared" si="13"/>
        <v>965.4078215382045</v>
      </c>
      <c r="O58" s="71"/>
      <c r="P58" s="34">
        <f t="shared" si="10"/>
        <v>255</v>
      </c>
      <c r="Q58" s="34">
        <f t="shared" si="11"/>
        <v>185</v>
      </c>
      <c r="R58"/>
      <c r="S58" s="14"/>
    </row>
    <row r="59" spans="2:19" ht="12.75">
      <c r="B59"/>
      <c r="C59"/>
      <c r="D59"/>
      <c r="E59"/>
      <c r="F59"/>
      <c r="G59">
        <f t="shared" si="5"/>
        <v>51</v>
      </c>
      <c r="H59" s="23">
        <f t="shared" si="0"/>
        <v>765</v>
      </c>
      <c r="I59" s="70">
        <f t="shared" si="12"/>
        <v>989.6030559866691</v>
      </c>
      <c r="J59" s="71"/>
      <c r="K59" s="34">
        <f t="shared" si="8"/>
        <v>255</v>
      </c>
      <c r="L59" s="34">
        <f t="shared" si="9"/>
        <v>185</v>
      </c>
      <c r="M59" s="34"/>
      <c r="N59" s="70">
        <f t="shared" si="13"/>
        <v>989.6030559866691</v>
      </c>
      <c r="O59" s="71"/>
      <c r="P59" s="34">
        <f t="shared" si="10"/>
        <v>255</v>
      </c>
      <c r="Q59" s="34">
        <f t="shared" si="11"/>
        <v>185</v>
      </c>
      <c r="R59"/>
      <c r="S59" s="14"/>
    </row>
    <row r="60" spans="2:19" ht="12.75">
      <c r="B60"/>
      <c r="C60"/>
      <c r="D60"/>
      <c r="E60"/>
      <c r="F60"/>
      <c r="G60">
        <f t="shared" si="5"/>
        <v>52</v>
      </c>
      <c r="H60" s="23">
        <f t="shared" si="0"/>
        <v>780</v>
      </c>
      <c r="I60" s="70">
        <f t="shared" si="12"/>
        <v>1013.917192380949</v>
      </c>
      <c r="J60" s="71"/>
      <c r="K60" s="34">
        <f t="shared" si="8"/>
        <v>255</v>
      </c>
      <c r="L60" s="34">
        <f t="shared" si="9"/>
        <v>185</v>
      </c>
      <c r="M60" s="34"/>
      <c r="N60" s="70">
        <f t="shared" si="13"/>
        <v>1013.917192380949</v>
      </c>
      <c r="O60" s="71"/>
      <c r="P60" s="34">
        <f t="shared" si="10"/>
        <v>255</v>
      </c>
      <c r="Q60" s="34">
        <f t="shared" si="11"/>
        <v>185</v>
      </c>
      <c r="R60"/>
      <c r="S60" s="14"/>
    </row>
    <row r="61" spans="2:19" ht="12.75">
      <c r="B61"/>
      <c r="C61"/>
      <c r="D61"/>
      <c r="E61"/>
      <c r="F61"/>
      <c r="G61">
        <f t="shared" si="5"/>
        <v>53</v>
      </c>
      <c r="H61" s="23">
        <f t="shared" si="0"/>
        <v>795</v>
      </c>
      <c r="I61" s="70">
        <f t="shared" si="12"/>
        <v>1038.348511445565</v>
      </c>
      <c r="J61" s="71"/>
      <c r="K61" s="34">
        <f t="shared" si="8"/>
        <v>255</v>
      </c>
      <c r="L61" s="34">
        <f t="shared" si="9"/>
        <v>185</v>
      </c>
      <c r="M61" s="34"/>
      <c r="N61" s="70">
        <f t="shared" si="13"/>
        <v>1038.348511445565</v>
      </c>
      <c r="O61" s="71"/>
      <c r="P61" s="34">
        <f t="shared" si="10"/>
        <v>255</v>
      </c>
      <c r="Q61" s="34">
        <f t="shared" si="11"/>
        <v>185</v>
      </c>
      <c r="R61"/>
      <c r="S61" s="14"/>
    </row>
    <row r="62" spans="2:19" ht="12.75">
      <c r="B62"/>
      <c r="C62"/>
      <c r="D62"/>
      <c r="E62"/>
      <c r="F62"/>
      <c r="G62">
        <f t="shared" si="5"/>
        <v>54</v>
      </c>
      <c r="H62" s="23">
        <f t="shared" si="0"/>
        <v>810</v>
      </c>
      <c r="I62" s="70">
        <f t="shared" si="12"/>
        <v>1062.8953508184443</v>
      </c>
      <c r="J62" s="71"/>
      <c r="K62" s="34">
        <f t="shared" si="8"/>
        <v>255</v>
      </c>
      <c r="L62" s="34">
        <f t="shared" si="9"/>
        <v>185</v>
      </c>
      <c r="M62" s="34"/>
      <c r="N62" s="70">
        <f t="shared" si="13"/>
        <v>1062.8953508184443</v>
      </c>
      <c r="O62" s="71"/>
      <c r="P62" s="34">
        <f t="shared" si="10"/>
        <v>255</v>
      </c>
      <c r="Q62" s="34">
        <f t="shared" si="11"/>
        <v>185</v>
      </c>
      <c r="R62"/>
      <c r="S62" s="14"/>
    </row>
    <row r="63" spans="2:19" ht="12.75">
      <c r="B63"/>
      <c r="C63"/>
      <c r="D63"/>
      <c r="E63"/>
      <c r="F63"/>
      <c r="G63">
        <f t="shared" si="5"/>
        <v>55</v>
      </c>
      <c r="H63" s="23">
        <f t="shared" si="0"/>
        <v>825</v>
      </c>
      <c r="I63" s="70">
        <f t="shared" si="12"/>
        <v>1087.5561021451133</v>
      </c>
      <c r="J63" s="71"/>
      <c r="K63" s="34">
        <f t="shared" si="8"/>
        <v>255</v>
      </c>
      <c r="L63" s="34">
        <f t="shared" si="9"/>
        <v>185</v>
      </c>
      <c r="M63" s="34"/>
      <c r="N63" s="70">
        <f t="shared" si="13"/>
        <v>1087.5561021451133</v>
      </c>
      <c r="O63" s="71"/>
      <c r="P63" s="34">
        <f t="shared" si="10"/>
        <v>255</v>
      </c>
      <c r="Q63" s="34">
        <f t="shared" si="11"/>
        <v>185</v>
      </c>
      <c r="R63"/>
      <c r="S63" s="14"/>
    </row>
    <row r="64" spans="2:19" ht="12.75">
      <c r="B64"/>
      <c r="C64"/>
      <c r="D64"/>
      <c r="E64"/>
      <c r="F64"/>
      <c r="G64">
        <f t="shared" si="5"/>
        <v>56</v>
      </c>
      <c r="H64" s="23">
        <f t="shared" si="0"/>
        <v>840</v>
      </c>
      <c r="I64" s="70">
        <f t="shared" si="12"/>
        <v>1112.3292083715176</v>
      </c>
      <c r="J64" s="71"/>
      <c r="K64" s="34">
        <f t="shared" si="8"/>
        <v>255</v>
      </c>
      <c r="L64" s="34">
        <f t="shared" si="9"/>
        <v>185</v>
      </c>
      <c r="M64" s="34"/>
      <c r="N64" s="70">
        <f t="shared" si="13"/>
        <v>1112.3292083715176</v>
      </c>
      <c r="O64" s="71"/>
      <c r="P64" s="34">
        <f t="shared" si="10"/>
        <v>255</v>
      </c>
      <c r="Q64" s="34">
        <f t="shared" si="11"/>
        <v>185</v>
      </c>
      <c r="R64"/>
      <c r="S64" s="14"/>
    </row>
    <row r="65" spans="2:19" ht="12.75">
      <c r="B65"/>
      <c r="C65"/>
      <c r="D65"/>
      <c r="E65"/>
      <c r="F65"/>
      <c r="G65">
        <f t="shared" si="5"/>
        <v>57</v>
      </c>
      <c r="H65" s="23">
        <f t="shared" si="0"/>
        <v>855</v>
      </c>
      <c r="I65" s="70">
        <f t="shared" si="12"/>
        <v>1137.2131612185722</v>
      </c>
      <c r="J65" s="71"/>
      <c r="K65" s="34">
        <f t="shared" si="8"/>
        <v>255</v>
      </c>
      <c r="L65" s="34">
        <f t="shared" si="9"/>
        <v>185</v>
      </c>
      <c r="M65" s="34"/>
      <c r="N65" s="70">
        <f t="shared" si="13"/>
        <v>1137.2131612185722</v>
      </c>
      <c r="O65" s="71"/>
      <c r="P65" s="34">
        <f t="shared" si="10"/>
        <v>255</v>
      </c>
      <c r="Q65" s="34">
        <f t="shared" si="11"/>
        <v>185</v>
      </c>
      <c r="R65"/>
      <c r="S65" s="14"/>
    </row>
    <row r="66" spans="2:19" ht="12.75">
      <c r="B66"/>
      <c r="C66"/>
      <c r="D66"/>
      <c r="E66"/>
      <c r="F66"/>
      <c r="G66">
        <f t="shared" si="5"/>
        <v>58</v>
      </c>
      <c r="H66" s="23">
        <f t="shared" si="0"/>
        <v>870</v>
      </c>
      <c r="I66" s="70">
        <f t="shared" si="12"/>
        <v>1162.2064988233099</v>
      </c>
      <c r="J66" s="71"/>
      <c r="K66" s="34">
        <f t="shared" si="8"/>
        <v>255</v>
      </c>
      <c r="L66" s="34">
        <f t="shared" si="9"/>
        <v>185</v>
      </c>
      <c r="M66" s="34"/>
      <c r="N66" s="70">
        <f t="shared" si="13"/>
        <v>1162.2064988233099</v>
      </c>
      <c r="O66" s="71"/>
      <c r="P66" s="34">
        <f t="shared" si="10"/>
        <v>255</v>
      </c>
      <c r="Q66" s="34">
        <f t="shared" si="11"/>
        <v>185</v>
      </c>
      <c r="R66"/>
      <c r="S66" s="14"/>
    </row>
    <row r="67" spans="2:19" ht="12.75">
      <c r="B67"/>
      <c r="C67"/>
      <c r="D67"/>
      <c r="E67"/>
      <c r="F67"/>
      <c r="G67">
        <f t="shared" si="5"/>
        <v>59</v>
      </c>
      <c r="H67" s="23">
        <f t="shared" si="0"/>
        <v>885</v>
      </c>
      <c r="I67" s="70">
        <f t="shared" si="12"/>
        <v>1187.3078035328626</v>
      </c>
      <c r="J67" s="71"/>
      <c r="K67" s="34">
        <f t="shared" si="8"/>
        <v>255</v>
      </c>
      <c r="L67" s="34">
        <f t="shared" si="9"/>
        <v>185</v>
      </c>
      <c r="M67" s="34"/>
      <c r="N67" s="70">
        <f t="shared" si="13"/>
        <v>1187.3078035328626</v>
      </c>
      <c r="O67" s="71"/>
      <c r="P67" s="34">
        <f t="shared" si="10"/>
        <v>255</v>
      </c>
      <c r="Q67" s="34">
        <f t="shared" si="11"/>
        <v>185</v>
      </c>
      <c r="R67"/>
      <c r="S67" s="14"/>
    </row>
    <row r="68" spans="2:19" ht="12.75">
      <c r="B68"/>
      <c r="C68"/>
      <c r="D68"/>
      <c r="E68"/>
      <c r="F68"/>
      <c r="G68">
        <f t="shared" si="5"/>
        <v>60</v>
      </c>
      <c r="H68" s="23">
        <f t="shared" si="0"/>
        <v>900</v>
      </c>
      <c r="I68" s="70">
        <f t="shared" si="12"/>
        <v>1212.5156998390416</v>
      </c>
      <c r="J68" s="71"/>
      <c r="K68" s="34">
        <f t="shared" si="8"/>
        <v>255</v>
      </c>
      <c r="L68" s="34">
        <f t="shared" si="9"/>
        <v>185</v>
      </c>
      <c r="M68" s="34"/>
      <c r="N68" s="70">
        <f t="shared" si="13"/>
        <v>1212.5156998390416</v>
      </c>
      <c r="O68" s="71"/>
      <c r="P68" s="34">
        <f t="shared" si="10"/>
        <v>255</v>
      </c>
      <c r="Q68" s="34">
        <f t="shared" si="11"/>
        <v>185</v>
      </c>
      <c r="R68"/>
      <c r="S68" s="14"/>
    </row>
    <row r="69" spans="2:19" ht="12.75">
      <c r="B69"/>
      <c r="C69"/>
      <c r="D69"/>
      <c r="E69"/>
      <c r="F69"/>
      <c r="G69">
        <f t="shared" si="5"/>
        <v>61</v>
      </c>
      <c r="H69" s="23">
        <f t="shared" si="0"/>
        <v>915</v>
      </c>
      <c r="I69" s="70">
        <f t="shared" si="12"/>
        <v>1237.82885244226</v>
      </c>
      <c r="J69" s="71"/>
      <c r="K69" s="34">
        <f t="shared" si="8"/>
        <v>255</v>
      </c>
      <c r="L69" s="34">
        <f t="shared" si="9"/>
        <v>185</v>
      </c>
      <c r="M69" s="34"/>
      <c r="N69" s="70">
        <f t="shared" si="13"/>
        <v>1237.82885244226</v>
      </c>
      <c r="O69" s="71"/>
      <c r="P69" s="34">
        <f t="shared" si="10"/>
        <v>255</v>
      </c>
      <c r="Q69" s="34">
        <f t="shared" si="11"/>
        <v>185</v>
      </c>
      <c r="R69"/>
      <c r="S69" s="14"/>
    </row>
    <row r="70" spans="2:19" ht="12.75">
      <c r="B70"/>
      <c r="C70"/>
      <c r="D70"/>
      <c r="E70"/>
      <c r="F70"/>
      <c r="G70">
        <f t="shared" si="5"/>
        <v>62</v>
      </c>
      <c r="H70" s="23">
        <f t="shared" si="0"/>
        <v>930</v>
      </c>
      <c r="I70" s="70">
        <f t="shared" si="12"/>
        <v>1263.2459644348012</v>
      </c>
      <c r="J70" s="71"/>
      <c r="K70" s="34">
        <f t="shared" si="8"/>
        <v>255</v>
      </c>
      <c r="L70" s="34">
        <f t="shared" si="9"/>
        <v>185</v>
      </c>
      <c r="M70" s="34"/>
      <c r="N70" s="70">
        <f t="shared" si="13"/>
        <v>1263.2459644348012</v>
      </c>
      <c r="O70" s="71"/>
      <c r="P70" s="34">
        <f t="shared" si="10"/>
        <v>255</v>
      </c>
      <c r="Q70" s="34">
        <f t="shared" si="11"/>
        <v>185</v>
      </c>
      <c r="R70"/>
      <c r="S70" s="14"/>
    </row>
    <row r="71" spans="2:19" ht="12.75">
      <c r="B71"/>
      <c r="C71"/>
      <c r="D71"/>
      <c r="E71"/>
      <c r="F71"/>
      <c r="G71">
        <f t="shared" si="5"/>
        <v>63</v>
      </c>
      <c r="H71" s="23">
        <f t="shared" si="0"/>
        <v>945</v>
      </c>
      <c r="I71" s="70">
        <f t="shared" si="12"/>
        <v>1288.765775594175</v>
      </c>
      <c r="J71" s="71"/>
      <c r="K71" s="34">
        <f t="shared" si="8"/>
        <v>255</v>
      </c>
      <c r="L71" s="34">
        <f t="shared" si="9"/>
        <v>185</v>
      </c>
      <c r="M71" s="34"/>
      <c r="N71" s="70">
        <f t="shared" si="13"/>
        <v>1288.765775594175</v>
      </c>
      <c r="O71" s="71"/>
      <c r="P71" s="34">
        <f t="shared" si="10"/>
        <v>255</v>
      </c>
      <c r="Q71" s="34">
        <f t="shared" si="11"/>
        <v>185</v>
      </c>
      <c r="R71"/>
      <c r="S71" s="14"/>
    </row>
    <row r="72" spans="2:19" ht="12.75">
      <c r="B72"/>
      <c r="C72"/>
      <c r="D72"/>
      <c r="E72"/>
      <c r="F72"/>
      <c r="G72">
        <f t="shared" si="5"/>
        <v>64</v>
      </c>
      <c r="H72" s="23">
        <f t="shared" si="0"/>
        <v>960</v>
      </c>
      <c r="I72" s="70">
        <f t="shared" si="12"/>
        <v>1314.3870607782999</v>
      </c>
      <c r="J72" s="71"/>
      <c r="K72" s="34">
        <f t="shared" si="8"/>
        <v>255</v>
      </c>
      <c r="L72" s="34">
        <f t="shared" si="9"/>
        <v>185</v>
      </c>
      <c r="M72" s="34"/>
      <c r="N72" s="70">
        <f t="shared" si="13"/>
        <v>1314.3870607782999</v>
      </c>
      <c r="O72" s="71"/>
      <c r="P72" s="34">
        <f t="shared" si="10"/>
        <v>255</v>
      </c>
      <c r="Q72" s="34">
        <f t="shared" si="11"/>
        <v>185</v>
      </c>
      <c r="R72"/>
      <c r="S72" s="14"/>
    </row>
    <row r="73" spans="2:19" ht="12.75">
      <c r="B73"/>
      <c r="C73"/>
      <c r="D73"/>
      <c r="E73"/>
      <c r="F73"/>
      <c r="G73">
        <f t="shared" si="5"/>
        <v>65</v>
      </c>
      <c r="H73" s="23">
        <f aca="true" t="shared" si="14" ref="H73:H107">G73*S$9</f>
        <v>975</v>
      </c>
      <c r="I73" s="70">
        <f t="shared" si="12"/>
        <v>1340.1086284149428</v>
      </c>
      <c r="J73" s="71"/>
      <c r="K73" s="34">
        <f aca="true" t="shared" si="15" ref="K73:K107">P_cf_w0_ksh</f>
        <v>255</v>
      </c>
      <c r="L73" s="34">
        <f aca="true" t="shared" si="16" ref="L73:L107">EPP_cf</f>
        <v>185</v>
      </c>
      <c r="M73" s="34"/>
      <c r="N73" s="70">
        <f t="shared" si="13"/>
        <v>1340.1086284149428</v>
      </c>
      <c r="O73" s="71"/>
      <c r="P73" s="34">
        <f aca="true" t="shared" si="17" ref="P73:P107">P_cf_w1_ksh</f>
        <v>255</v>
      </c>
      <c r="Q73" s="34">
        <f aca="true" t="shared" si="18" ref="Q73:Q107">EPP_cf_after</f>
        <v>185</v>
      </c>
      <c r="R73"/>
      <c r="S73" s="14"/>
    </row>
    <row r="74" spans="2:19" ht="12.75">
      <c r="B74"/>
      <c r="C74"/>
      <c r="D74"/>
      <c r="E74"/>
      <c r="F74"/>
      <c r="G74">
        <f aca="true" t="shared" si="19" ref="G74:G107">1+G73</f>
        <v>66</v>
      </c>
      <c r="H74" s="23">
        <f t="shared" si="14"/>
        <v>990</v>
      </c>
      <c r="I74" s="70">
        <f t="shared" si="12"/>
        <v>1365.9293190784633</v>
      </c>
      <c r="J74" s="71"/>
      <c r="K74" s="34">
        <f t="shared" si="15"/>
        <v>255</v>
      </c>
      <c r="L74" s="34">
        <f t="shared" si="16"/>
        <v>185</v>
      </c>
      <c r="M74" s="34"/>
      <c r="N74" s="70">
        <f t="shared" si="13"/>
        <v>1365.9293190784633</v>
      </c>
      <c r="O74" s="71"/>
      <c r="P74" s="34">
        <f t="shared" si="17"/>
        <v>255</v>
      </c>
      <c r="Q74" s="34">
        <f t="shared" si="18"/>
        <v>185</v>
      </c>
      <c r="R74"/>
      <c r="S74" s="14"/>
    </row>
    <row r="75" spans="2:19" ht="12.75">
      <c r="B75"/>
      <c r="C75"/>
      <c r="D75"/>
      <c r="E75"/>
      <c r="F75"/>
      <c r="G75">
        <f t="shared" si="19"/>
        <v>67</v>
      </c>
      <c r="H75" s="23">
        <f t="shared" si="14"/>
        <v>1005</v>
      </c>
      <c r="I75" s="70">
        <f t="shared" si="12"/>
        <v>1391.8480041476175</v>
      </c>
      <c r="J75" s="71"/>
      <c r="K75" s="34">
        <f t="shared" si="15"/>
        <v>255</v>
      </c>
      <c r="L75" s="34">
        <f t="shared" si="16"/>
        <v>185</v>
      </c>
      <c r="M75" s="34"/>
      <c r="N75" s="70">
        <f t="shared" si="13"/>
        <v>1391.8480041476175</v>
      </c>
      <c r="O75" s="71"/>
      <c r="P75" s="34">
        <f t="shared" si="17"/>
        <v>255</v>
      </c>
      <c r="Q75" s="34">
        <f t="shared" si="18"/>
        <v>185</v>
      </c>
      <c r="R75"/>
      <c r="S75" s="14"/>
    </row>
    <row r="76" spans="2:19" ht="12.75">
      <c r="B76"/>
      <c r="C76"/>
      <c r="D76"/>
      <c r="E76"/>
      <c r="F76"/>
      <c r="G76">
        <f t="shared" si="19"/>
        <v>68</v>
      </c>
      <c r="H76" s="23">
        <f t="shared" si="14"/>
        <v>1020</v>
      </c>
      <c r="I76" s="70">
        <f aca="true" t="shared" si="20" ref="I76:I107">EXP((LN($H76)-SAalpha_cf-Sbeta_cf_mz*LN(P_mz_0)-LN(Yield_cf))/Sbeta_cf)</f>
        <v>1417.8635845386166</v>
      </c>
      <c r="J76" s="71"/>
      <c r="K76" s="34">
        <f t="shared" si="15"/>
        <v>255</v>
      </c>
      <c r="L76" s="34">
        <f t="shared" si="16"/>
        <v>185</v>
      </c>
      <c r="M76" s="34"/>
      <c r="N76" s="70">
        <f aca="true" t="shared" si="21" ref="N76:N107">EXP((LN($H76)-SAalpha_cf-Sbeta_cf_mz*LN(P_mz_1)-LN(Yield_cf1))/Sbeta_cf)</f>
        <v>1417.8635845386166</v>
      </c>
      <c r="O76" s="71"/>
      <c r="P76" s="34">
        <f t="shared" si="17"/>
        <v>255</v>
      </c>
      <c r="Q76" s="34">
        <f t="shared" si="18"/>
        <v>185</v>
      </c>
      <c r="R76"/>
      <c r="S76" s="14"/>
    </row>
    <row r="77" spans="2:19" ht="12.75">
      <c r="B77"/>
      <c r="C77"/>
      <c r="D77"/>
      <c r="E77"/>
      <c r="F77"/>
      <c r="G77">
        <f t="shared" si="19"/>
        <v>69</v>
      </c>
      <c r="H77" s="23">
        <f t="shared" si="14"/>
        <v>1035</v>
      </c>
      <c r="I77" s="70">
        <f t="shared" si="20"/>
        <v>1443.974989508231</v>
      </c>
      <c r="J77" s="71"/>
      <c r="K77" s="34">
        <f t="shared" si="15"/>
        <v>255</v>
      </c>
      <c r="L77" s="34">
        <f t="shared" si="16"/>
        <v>185</v>
      </c>
      <c r="M77" s="34"/>
      <c r="N77" s="70">
        <f t="shared" si="21"/>
        <v>1443.974989508231</v>
      </c>
      <c r="O77" s="71"/>
      <c r="P77" s="34">
        <f t="shared" si="17"/>
        <v>255</v>
      </c>
      <c r="Q77" s="34">
        <f t="shared" si="18"/>
        <v>185</v>
      </c>
      <c r="R77"/>
      <c r="S77" s="14"/>
    </row>
    <row r="78" spans="2:19" ht="12.75">
      <c r="B78"/>
      <c r="C78"/>
      <c r="D78"/>
      <c r="E78"/>
      <c r="F78"/>
      <c r="G78">
        <f t="shared" si="19"/>
        <v>70</v>
      </c>
      <c r="H78" s="23">
        <f t="shared" si="14"/>
        <v>1050</v>
      </c>
      <c r="I78" s="70">
        <f t="shared" si="20"/>
        <v>1470.1811755220406</v>
      </c>
      <c r="J78" s="71"/>
      <c r="K78" s="34">
        <f t="shared" si="15"/>
        <v>255</v>
      </c>
      <c r="L78" s="34">
        <f t="shared" si="16"/>
        <v>185</v>
      </c>
      <c r="M78" s="34"/>
      <c r="N78" s="70">
        <f t="shared" si="21"/>
        <v>1470.1811755220406</v>
      </c>
      <c r="O78" s="71"/>
      <c r="P78" s="34">
        <f t="shared" si="17"/>
        <v>255</v>
      </c>
      <c r="Q78" s="34">
        <f t="shared" si="18"/>
        <v>185</v>
      </c>
      <c r="R78"/>
      <c r="S78" s="14"/>
    </row>
    <row r="79" spans="2:19" ht="12.75">
      <c r="B79"/>
      <c r="C79"/>
      <c r="D79"/>
      <c r="E79"/>
      <c r="F79"/>
      <c r="G79">
        <f t="shared" si="19"/>
        <v>71</v>
      </c>
      <c r="H79" s="23">
        <f t="shared" si="14"/>
        <v>1065</v>
      </c>
      <c r="I79" s="70">
        <f t="shared" si="20"/>
        <v>1496.4811251834492</v>
      </c>
      <c r="J79" s="71"/>
      <c r="K79" s="34">
        <f t="shared" si="15"/>
        <v>255</v>
      </c>
      <c r="L79" s="34">
        <f t="shared" si="16"/>
        <v>185</v>
      </c>
      <c r="M79" s="34"/>
      <c r="N79" s="70">
        <f t="shared" si="21"/>
        <v>1496.4811251834492</v>
      </c>
      <c r="O79" s="71"/>
      <c r="P79" s="34">
        <f t="shared" si="17"/>
        <v>255</v>
      </c>
      <c r="Q79" s="34">
        <f t="shared" si="18"/>
        <v>185</v>
      </c>
      <c r="R79"/>
      <c r="S79" s="14"/>
    </row>
    <row r="80" spans="2:19" ht="12.75">
      <c r="B80"/>
      <c r="C80"/>
      <c r="D80"/>
      <c r="E80"/>
      <c r="F80"/>
      <c r="G80">
        <f t="shared" si="19"/>
        <v>72</v>
      </c>
      <c r="H80" s="23">
        <f t="shared" si="14"/>
        <v>1080</v>
      </c>
      <c r="I80" s="70">
        <f t="shared" si="20"/>
        <v>1522.8738462193826</v>
      </c>
      <c r="J80" s="71"/>
      <c r="K80" s="34">
        <f t="shared" si="15"/>
        <v>255</v>
      </c>
      <c r="L80" s="34">
        <f t="shared" si="16"/>
        <v>185</v>
      </c>
      <c r="M80" s="34"/>
      <c r="N80" s="70">
        <f t="shared" si="21"/>
        <v>1522.8738462193826</v>
      </c>
      <c r="O80" s="71"/>
      <c r="P80" s="34">
        <f t="shared" si="17"/>
        <v>255</v>
      </c>
      <c r="Q80" s="34">
        <f t="shared" si="18"/>
        <v>185</v>
      </c>
      <c r="R80"/>
      <c r="S80" s="14"/>
    </row>
    <row r="81" spans="2:19" ht="12.75">
      <c r="B81"/>
      <c r="C81"/>
      <c r="D81"/>
      <c r="E81"/>
      <c r="F81"/>
      <c r="G81">
        <f t="shared" si="19"/>
        <v>73</v>
      </c>
      <c r="H81" s="23">
        <f t="shared" si="14"/>
        <v>1095</v>
      </c>
      <c r="I81" s="70">
        <f t="shared" si="20"/>
        <v>1549.3583705188864</v>
      </c>
      <c r="J81" s="71"/>
      <c r="K81" s="34">
        <f t="shared" si="15"/>
        <v>255</v>
      </c>
      <c r="L81" s="34">
        <f t="shared" si="16"/>
        <v>185</v>
      </c>
      <c r="M81" s="34"/>
      <c r="N81" s="70">
        <f t="shared" si="21"/>
        <v>1549.3583705188864</v>
      </c>
      <c r="O81" s="71"/>
      <c r="P81" s="34">
        <f t="shared" si="17"/>
        <v>255</v>
      </c>
      <c r="Q81" s="34">
        <f t="shared" si="18"/>
        <v>185</v>
      </c>
      <c r="R81"/>
      <c r="S81" s="14"/>
    </row>
    <row r="82" spans="2:19" ht="12.75">
      <c r="B82"/>
      <c r="C82"/>
      <c r="D82"/>
      <c r="E82"/>
      <c r="F82"/>
      <c r="G82">
        <f t="shared" si="19"/>
        <v>74</v>
      </c>
      <c r="H82" s="23">
        <f t="shared" si="14"/>
        <v>1110</v>
      </c>
      <c r="I82" s="70">
        <f t="shared" si="20"/>
        <v>1575.933753221257</v>
      </c>
      <c r="J82" s="71"/>
      <c r="K82" s="34">
        <f t="shared" si="15"/>
        <v>255</v>
      </c>
      <c r="L82" s="34">
        <f t="shared" si="16"/>
        <v>185</v>
      </c>
      <c r="M82" s="34"/>
      <c r="N82" s="70">
        <f t="shared" si="21"/>
        <v>1575.933753221257</v>
      </c>
      <c r="O82" s="71"/>
      <c r="P82" s="34">
        <f t="shared" si="17"/>
        <v>255</v>
      </c>
      <c r="Q82" s="34">
        <f t="shared" si="18"/>
        <v>185</v>
      </c>
      <c r="R82"/>
      <c r="S82" s="14"/>
    </row>
    <row r="83" spans="2:19" ht="12.75">
      <c r="B83"/>
      <c r="C83"/>
      <c r="D83"/>
      <c r="E83"/>
      <c r="F83"/>
      <c r="G83">
        <f t="shared" si="19"/>
        <v>75</v>
      </c>
      <c r="H83" s="23">
        <f t="shared" si="14"/>
        <v>1125</v>
      </c>
      <c r="I83" s="70">
        <f t="shared" si="20"/>
        <v>1602.5990718504072</v>
      </c>
      <c r="J83" s="71"/>
      <c r="K83" s="34">
        <f t="shared" si="15"/>
        <v>255</v>
      </c>
      <c r="L83" s="34">
        <f t="shared" si="16"/>
        <v>185</v>
      </c>
      <c r="M83" s="34"/>
      <c r="N83" s="70">
        <f t="shared" si="21"/>
        <v>1602.5990718504072</v>
      </c>
      <c r="O83" s="71"/>
      <c r="P83" s="34">
        <f t="shared" si="17"/>
        <v>255</v>
      </c>
      <c r="Q83" s="34">
        <f t="shared" si="18"/>
        <v>185</v>
      </c>
      <c r="R83"/>
      <c r="S83" s="14"/>
    </row>
    <row r="84" spans="2:19" ht="12.75">
      <c r="B84"/>
      <c r="C84"/>
      <c r="D84"/>
      <c r="E84"/>
      <c r="F84"/>
      <c r="G84">
        <f t="shared" si="19"/>
        <v>76</v>
      </c>
      <c r="H84" s="23">
        <f t="shared" si="14"/>
        <v>1140</v>
      </c>
      <c r="I84" s="70">
        <f t="shared" si="20"/>
        <v>1629.353425492635</v>
      </c>
      <c r="J84" s="71"/>
      <c r="K84" s="34">
        <f t="shared" si="15"/>
        <v>255</v>
      </c>
      <c r="L84" s="34">
        <f t="shared" si="16"/>
        <v>185</v>
      </c>
      <c r="M84" s="34"/>
      <c r="N84" s="70">
        <f t="shared" si="21"/>
        <v>1629.353425492635</v>
      </c>
      <c r="O84" s="71"/>
      <c r="P84" s="34">
        <f t="shared" si="17"/>
        <v>255</v>
      </c>
      <c r="Q84" s="34">
        <f t="shared" si="18"/>
        <v>185</v>
      </c>
      <c r="R84"/>
      <c r="S84" s="14"/>
    </row>
    <row r="85" spans="2:19" ht="12.75">
      <c r="B85"/>
      <c r="C85"/>
      <c r="D85"/>
      <c r="E85"/>
      <c r="F85"/>
      <c r="G85">
        <f t="shared" si="19"/>
        <v>77</v>
      </c>
      <c r="H85" s="23">
        <f t="shared" si="14"/>
        <v>1155</v>
      </c>
      <c r="I85" s="70">
        <f t="shared" si="20"/>
        <v>1656.195934015023</v>
      </c>
      <c r="J85" s="71"/>
      <c r="K85" s="34">
        <f t="shared" si="15"/>
        <v>255</v>
      </c>
      <c r="L85" s="34">
        <f t="shared" si="16"/>
        <v>185</v>
      </c>
      <c r="M85" s="34"/>
      <c r="N85" s="70">
        <f t="shared" si="21"/>
        <v>1656.195934015023</v>
      </c>
      <c r="O85" s="71"/>
      <c r="P85" s="34">
        <f t="shared" si="17"/>
        <v>255</v>
      </c>
      <c r="Q85" s="34">
        <f t="shared" si="18"/>
        <v>185</v>
      </c>
      <c r="R85"/>
      <c r="S85" s="14"/>
    </row>
    <row r="86" spans="2:19" ht="12.75">
      <c r="B86"/>
      <c r="C86"/>
      <c r="D86"/>
      <c r="E86"/>
      <c r="F86"/>
      <c r="G86">
        <f t="shared" si="19"/>
        <v>78</v>
      </c>
      <c r="H86" s="23">
        <f t="shared" si="14"/>
        <v>1170</v>
      </c>
      <c r="I86" s="70">
        <f t="shared" si="20"/>
        <v>1683.125737321965</v>
      </c>
      <c r="J86" s="71"/>
      <c r="K86" s="34">
        <f t="shared" si="15"/>
        <v>255</v>
      </c>
      <c r="L86" s="34">
        <f t="shared" si="16"/>
        <v>185</v>
      </c>
      <c r="M86" s="34"/>
      <c r="N86" s="70">
        <f t="shared" si="21"/>
        <v>1683.125737321965</v>
      </c>
      <c r="O86" s="71"/>
      <c r="P86" s="34">
        <f t="shared" si="17"/>
        <v>255</v>
      </c>
      <c r="Q86" s="34">
        <f t="shared" si="18"/>
        <v>185</v>
      </c>
      <c r="R86"/>
      <c r="S86" s="14"/>
    </row>
    <row r="87" spans="2:19" ht="12.75">
      <c r="B87"/>
      <c r="C87"/>
      <c r="D87"/>
      <c r="E87"/>
      <c r="F87"/>
      <c r="G87">
        <f t="shared" si="19"/>
        <v>79</v>
      </c>
      <c r="H87" s="23">
        <f t="shared" si="14"/>
        <v>1185</v>
      </c>
      <c r="I87" s="70">
        <f t="shared" si="20"/>
        <v>1710.1419946475066</v>
      </c>
      <c r="J87" s="71"/>
      <c r="K87" s="34">
        <f t="shared" si="15"/>
        <v>255</v>
      </c>
      <c r="L87" s="34">
        <f t="shared" si="16"/>
        <v>185</v>
      </c>
      <c r="M87" s="34"/>
      <c r="N87" s="70">
        <f t="shared" si="21"/>
        <v>1710.1419946475066</v>
      </c>
      <c r="O87" s="71"/>
      <c r="P87" s="34">
        <f t="shared" si="17"/>
        <v>255</v>
      </c>
      <c r="Q87" s="34">
        <f t="shared" si="18"/>
        <v>185</v>
      </c>
      <c r="R87"/>
      <c r="S87" s="14"/>
    </row>
    <row r="88" spans="2:19" ht="12.75">
      <c r="B88"/>
      <c r="C88"/>
      <c r="D88"/>
      <c r="E88"/>
      <c r="F88"/>
      <c r="G88">
        <f t="shared" si="19"/>
        <v>80</v>
      </c>
      <c r="H88" s="23">
        <f t="shared" si="14"/>
        <v>1200</v>
      </c>
      <c r="I88" s="70">
        <f t="shared" si="20"/>
        <v>1737.2438838813487</v>
      </c>
      <c r="J88" s="71"/>
      <c r="K88" s="34">
        <f t="shared" si="15"/>
        <v>255</v>
      </c>
      <c r="L88" s="34">
        <f t="shared" si="16"/>
        <v>185</v>
      </c>
      <c r="M88" s="34"/>
      <c r="N88" s="70">
        <f t="shared" si="21"/>
        <v>1737.2438838813487</v>
      </c>
      <c r="O88" s="71"/>
      <c r="P88" s="34">
        <f t="shared" si="17"/>
        <v>255</v>
      </c>
      <c r="Q88" s="34">
        <f t="shared" si="18"/>
        <v>185</v>
      </c>
      <c r="R88"/>
      <c r="S88" s="14"/>
    </row>
    <row r="89" spans="2:19" ht="12.75">
      <c r="B89"/>
      <c r="C89"/>
      <c r="D89"/>
      <c r="E89"/>
      <c r="F89"/>
      <c r="G89">
        <f t="shared" si="19"/>
        <v>81</v>
      </c>
      <c r="H89" s="23">
        <f t="shared" si="14"/>
        <v>1215</v>
      </c>
      <c r="I89" s="70">
        <f t="shared" si="20"/>
        <v>1764.4306009264526</v>
      </c>
      <c r="J89" s="71"/>
      <c r="K89" s="34">
        <f t="shared" si="15"/>
        <v>255</v>
      </c>
      <c r="L89" s="34">
        <f t="shared" si="16"/>
        <v>185</v>
      </c>
      <c r="M89" s="34"/>
      <c r="N89" s="70">
        <f t="shared" si="21"/>
        <v>1764.4306009264526</v>
      </c>
      <c r="O89" s="71"/>
      <c r="P89" s="34">
        <f t="shared" si="17"/>
        <v>255</v>
      </c>
      <c r="Q89" s="34">
        <f t="shared" si="18"/>
        <v>185</v>
      </c>
      <c r="R89"/>
      <c r="S89" s="14"/>
    </row>
    <row r="90" spans="2:19" ht="12.75">
      <c r="B90"/>
      <c r="C90"/>
      <c r="D90"/>
      <c r="E90"/>
      <c r="F90"/>
      <c r="G90">
        <f t="shared" si="19"/>
        <v>82</v>
      </c>
      <c r="H90" s="23">
        <f t="shared" si="14"/>
        <v>1230</v>
      </c>
      <c r="I90" s="70">
        <f t="shared" si="20"/>
        <v>1791.7013590864972</v>
      </c>
      <c r="J90" s="71"/>
      <c r="K90" s="34">
        <f t="shared" si="15"/>
        <v>255</v>
      </c>
      <c r="L90" s="34">
        <f t="shared" si="16"/>
        <v>185</v>
      </c>
      <c r="M90" s="34"/>
      <c r="N90" s="70">
        <f t="shared" si="21"/>
        <v>1791.7013590864972</v>
      </c>
      <c r="O90" s="71"/>
      <c r="P90" s="34">
        <f t="shared" si="17"/>
        <v>255</v>
      </c>
      <c r="Q90" s="34">
        <f t="shared" si="18"/>
        <v>185</v>
      </c>
      <c r="R90"/>
      <c r="S90" s="14"/>
    </row>
    <row r="91" spans="2:19" ht="12.75">
      <c r="B91"/>
      <c r="C91"/>
      <c r="D91"/>
      <c r="E91"/>
      <c r="F91"/>
      <c r="G91">
        <f t="shared" si="19"/>
        <v>83</v>
      </c>
      <c r="H91" s="23">
        <f t="shared" si="14"/>
        <v>1245</v>
      </c>
      <c r="I91" s="70">
        <f t="shared" si="20"/>
        <v>1819.0553884813469</v>
      </c>
      <c r="J91" s="71"/>
      <c r="K91" s="34">
        <f t="shared" si="15"/>
        <v>255</v>
      </c>
      <c r="L91" s="34">
        <f t="shared" si="16"/>
        <v>185</v>
      </c>
      <c r="M91" s="34"/>
      <c r="N91" s="70">
        <f t="shared" si="21"/>
        <v>1819.0553884813469</v>
      </c>
      <c r="O91" s="71"/>
      <c r="P91" s="34">
        <f t="shared" si="17"/>
        <v>255</v>
      </c>
      <c r="Q91" s="34">
        <f t="shared" si="18"/>
        <v>185</v>
      </c>
      <c r="R91"/>
      <c r="S91" s="14"/>
    </row>
    <row r="92" spans="2:19" ht="12.75">
      <c r="B92"/>
      <c r="C92"/>
      <c r="D92"/>
      <c r="E92"/>
      <c r="F92"/>
      <c r="G92">
        <f t="shared" si="19"/>
        <v>84</v>
      </c>
      <c r="H92" s="23">
        <f t="shared" si="14"/>
        <v>1260</v>
      </c>
      <c r="I92" s="70">
        <f t="shared" si="20"/>
        <v>1846.4919354889935</v>
      </c>
      <c r="J92" s="71"/>
      <c r="K92" s="34">
        <f t="shared" si="15"/>
        <v>255</v>
      </c>
      <c r="L92" s="34">
        <f t="shared" si="16"/>
        <v>185</v>
      </c>
      <c r="M92" s="34"/>
      <c r="N92" s="70">
        <f t="shared" si="21"/>
        <v>1846.4919354889935</v>
      </c>
      <c r="O92" s="71"/>
      <c r="P92" s="34">
        <f t="shared" si="17"/>
        <v>255</v>
      </c>
      <c r="Q92" s="34">
        <f t="shared" si="18"/>
        <v>185</v>
      </c>
      <c r="R92"/>
      <c r="S92" s="14"/>
    </row>
    <row r="93" spans="2:19" ht="12.75">
      <c r="B93"/>
      <c r="C93"/>
      <c r="D93"/>
      <c r="E93"/>
      <c r="F93"/>
      <c r="G93">
        <f t="shared" si="19"/>
        <v>85</v>
      </c>
      <c r="H93" s="23">
        <f t="shared" si="14"/>
        <v>1275</v>
      </c>
      <c r="I93" s="70">
        <f t="shared" si="20"/>
        <v>1874.0102622124562</v>
      </c>
      <c r="J93" s="71"/>
      <c r="K93" s="34">
        <f t="shared" si="15"/>
        <v>255</v>
      </c>
      <c r="L93" s="34">
        <f t="shared" si="16"/>
        <v>185</v>
      </c>
      <c r="M93" s="34"/>
      <c r="N93" s="70">
        <f t="shared" si="21"/>
        <v>1874.0102622124562</v>
      </c>
      <c r="O93" s="71"/>
      <c r="P93" s="34">
        <f t="shared" si="17"/>
        <v>255</v>
      </c>
      <c r="Q93" s="34">
        <f t="shared" si="18"/>
        <v>185</v>
      </c>
      <c r="R93"/>
      <c r="S93" s="14"/>
    </row>
    <row r="94" spans="2:19" ht="12.75">
      <c r="B94"/>
      <c r="C94"/>
      <c r="D94"/>
      <c r="E94"/>
      <c r="F94"/>
      <c r="G94">
        <f t="shared" si="19"/>
        <v>86</v>
      </c>
      <c r="H94" s="23">
        <f t="shared" si="14"/>
        <v>1290</v>
      </c>
      <c r="I94" s="70">
        <f t="shared" si="20"/>
        <v>1901.6096459702208</v>
      </c>
      <c r="J94" s="71"/>
      <c r="K94" s="34">
        <f t="shared" si="15"/>
        <v>255</v>
      </c>
      <c r="L94" s="34">
        <f t="shared" si="16"/>
        <v>185</v>
      </c>
      <c r="M94" s="34"/>
      <c r="N94" s="70">
        <f t="shared" si="21"/>
        <v>1901.6096459702208</v>
      </c>
      <c r="O94" s="71"/>
      <c r="P94" s="34">
        <f t="shared" si="17"/>
        <v>255</v>
      </c>
      <c r="Q94" s="34">
        <f t="shared" si="18"/>
        <v>185</v>
      </c>
      <c r="R94"/>
      <c r="S94" s="14"/>
    </row>
    <row r="95" spans="2:19" ht="12.75">
      <c r="B95"/>
      <c r="C95"/>
      <c r="D95"/>
      <c r="E95"/>
      <c r="F95"/>
      <c r="G95">
        <f t="shared" si="19"/>
        <v>87</v>
      </c>
      <c r="H95" s="23">
        <f t="shared" si="14"/>
        <v>1305</v>
      </c>
      <c r="I95" s="70">
        <f t="shared" si="20"/>
        <v>1929.2893788089536</v>
      </c>
      <c r="J95" s="71"/>
      <c r="K95" s="34">
        <f t="shared" si="15"/>
        <v>255</v>
      </c>
      <c r="L95" s="34">
        <f t="shared" si="16"/>
        <v>185</v>
      </c>
      <c r="M95" s="34"/>
      <c r="N95" s="70">
        <f t="shared" si="21"/>
        <v>1929.2893788089536</v>
      </c>
      <c r="O95" s="71"/>
      <c r="P95" s="34">
        <f t="shared" si="17"/>
        <v>255</v>
      </c>
      <c r="Q95" s="34">
        <f t="shared" si="18"/>
        <v>185</v>
      </c>
      <c r="R95"/>
      <c r="S95" s="14"/>
    </row>
    <row r="96" spans="2:19" ht="12.75">
      <c r="B96"/>
      <c r="C96"/>
      <c r="D96"/>
      <c r="E96"/>
      <c r="F96"/>
      <c r="G96">
        <f t="shared" si="19"/>
        <v>88</v>
      </c>
      <c r="H96" s="23">
        <f t="shared" si="14"/>
        <v>1320</v>
      </c>
      <c r="I96" s="70">
        <f t="shared" si="20"/>
        <v>1957.048767037231</v>
      </c>
      <c r="J96" s="71"/>
      <c r="K96" s="34">
        <f t="shared" si="15"/>
        <v>255</v>
      </c>
      <c r="L96" s="34">
        <f t="shared" si="16"/>
        <v>185</v>
      </c>
      <c r="M96" s="34"/>
      <c r="N96" s="70">
        <f t="shared" si="21"/>
        <v>1957.048767037231</v>
      </c>
      <c r="O96" s="71"/>
      <c r="P96" s="34">
        <f t="shared" si="17"/>
        <v>255</v>
      </c>
      <c r="Q96" s="34">
        <f t="shared" si="18"/>
        <v>185</v>
      </c>
      <c r="R96"/>
      <c r="S96" s="14"/>
    </row>
    <row r="97" spans="2:19" ht="12.75">
      <c r="B97"/>
      <c r="C97"/>
      <c r="D97"/>
      <c r="E97"/>
      <c r="F97"/>
      <c r="G97">
        <f t="shared" si="19"/>
        <v>89</v>
      </c>
      <c r="H97" s="23">
        <f t="shared" si="14"/>
        <v>1335</v>
      </c>
      <c r="I97" s="70">
        <f t="shared" si="20"/>
        <v>1984.8871307791806</v>
      </c>
      <c r="J97" s="71"/>
      <c r="K97" s="34">
        <f t="shared" si="15"/>
        <v>255</v>
      </c>
      <c r="L97" s="34">
        <f t="shared" si="16"/>
        <v>185</v>
      </c>
      <c r="M97" s="34"/>
      <c r="N97" s="70">
        <f t="shared" si="21"/>
        <v>1984.8871307791806</v>
      </c>
      <c r="O97" s="71"/>
      <c r="P97" s="34">
        <f t="shared" si="17"/>
        <v>255</v>
      </c>
      <c r="Q97" s="34">
        <f t="shared" si="18"/>
        <v>185</v>
      </c>
      <c r="R97"/>
      <c r="S97" s="14"/>
    </row>
    <row r="98" spans="2:19" ht="12.75">
      <c r="B98"/>
      <c r="C98"/>
      <c r="D98"/>
      <c r="E98"/>
      <c r="F98"/>
      <c r="G98">
        <f t="shared" si="19"/>
        <v>90</v>
      </c>
      <c r="H98" s="23">
        <f t="shared" si="14"/>
        <v>1350</v>
      </c>
      <c r="I98" s="70">
        <f t="shared" si="20"/>
        <v>2012.8038035469726</v>
      </c>
      <c r="J98" s="71"/>
      <c r="K98" s="34">
        <f t="shared" si="15"/>
        <v>255</v>
      </c>
      <c r="L98" s="34">
        <f t="shared" si="16"/>
        <v>185</v>
      </c>
      <c r="M98" s="34"/>
      <c r="N98" s="70">
        <f t="shared" si="21"/>
        <v>2012.8038035469726</v>
      </c>
      <c r="O98" s="71"/>
      <c r="P98" s="34">
        <f t="shared" si="17"/>
        <v>255</v>
      </c>
      <c r="Q98" s="34">
        <f t="shared" si="18"/>
        <v>185</v>
      </c>
      <c r="R98"/>
      <c r="S98" s="14"/>
    </row>
    <row r="99" spans="2:19" ht="12.75">
      <c r="B99"/>
      <c r="C99"/>
      <c r="D99"/>
      <c r="E99"/>
      <c r="F99"/>
      <c r="G99">
        <f t="shared" si="19"/>
        <v>91</v>
      </c>
      <c r="H99" s="23">
        <f t="shared" si="14"/>
        <v>1365</v>
      </c>
      <c r="I99" s="70">
        <f t="shared" si="20"/>
        <v>2040.7981318311108</v>
      </c>
      <c r="J99" s="71"/>
      <c r="K99" s="34">
        <f t="shared" si="15"/>
        <v>255</v>
      </c>
      <c r="L99" s="34">
        <f t="shared" si="16"/>
        <v>185</v>
      </c>
      <c r="M99" s="34"/>
      <c r="N99" s="70">
        <f t="shared" si="21"/>
        <v>2040.7981318311108</v>
      </c>
      <c r="O99" s="71"/>
      <c r="P99" s="34">
        <f t="shared" si="17"/>
        <v>255</v>
      </c>
      <c r="Q99" s="34">
        <f t="shared" si="18"/>
        <v>185</v>
      </c>
      <c r="R99"/>
      <c r="S99" s="14"/>
    </row>
    <row r="100" spans="2:19" ht="12.75">
      <c r="B100"/>
      <c r="C100"/>
      <c r="D100"/>
      <c r="E100"/>
      <c r="F100"/>
      <c r="G100">
        <f t="shared" si="19"/>
        <v>92</v>
      </c>
      <c r="H100" s="23">
        <f t="shared" si="14"/>
        <v>1380</v>
      </c>
      <c r="I100" s="70">
        <f t="shared" si="20"/>
        <v>2068.869474707682</v>
      </c>
      <c r="J100" s="71"/>
      <c r="K100" s="34">
        <f t="shared" si="15"/>
        <v>255</v>
      </c>
      <c r="L100" s="34">
        <f t="shared" si="16"/>
        <v>185</v>
      </c>
      <c r="M100" s="34"/>
      <c r="N100" s="70">
        <f t="shared" si="21"/>
        <v>2068.869474707682</v>
      </c>
      <c r="O100" s="71"/>
      <c r="P100" s="34">
        <f t="shared" si="17"/>
        <v>255</v>
      </c>
      <c r="Q100" s="34">
        <f t="shared" si="18"/>
        <v>185</v>
      </c>
      <c r="R100"/>
      <c r="S100" s="14"/>
    </row>
    <row r="101" spans="2:19" ht="12.75">
      <c r="B101"/>
      <c r="C101"/>
      <c r="D101"/>
      <c r="E101"/>
      <c r="F101"/>
      <c r="G101">
        <f t="shared" si="19"/>
        <v>93</v>
      </c>
      <c r="H101" s="23">
        <f t="shared" si="14"/>
        <v>1395</v>
      </c>
      <c r="I101" s="70">
        <f t="shared" si="20"/>
        <v>2097.017203461589</v>
      </c>
      <c r="J101" s="71"/>
      <c r="K101" s="34">
        <f t="shared" si="15"/>
        <v>255</v>
      </c>
      <c r="L101" s="34">
        <f t="shared" si="16"/>
        <v>185</v>
      </c>
      <c r="M101" s="34"/>
      <c r="N101" s="70">
        <f t="shared" si="21"/>
        <v>2097.017203461589</v>
      </c>
      <c r="O101" s="71"/>
      <c r="P101" s="34">
        <f t="shared" si="17"/>
        <v>255</v>
      </c>
      <c r="Q101" s="34">
        <f t="shared" si="18"/>
        <v>185</v>
      </c>
      <c r="R101"/>
      <c r="S101" s="14"/>
    </row>
    <row r="102" spans="2:19" ht="12.75">
      <c r="B102"/>
      <c r="C102"/>
      <c r="D102"/>
      <c r="E102"/>
      <c r="F102"/>
      <c r="G102">
        <f t="shared" si="19"/>
        <v>94</v>
      </c>
      <c r="H102" s="23">
        <f t="shared" si="14"/>
        <v>1410</v>
      </c>
      <c r="I102" s="70">
        <f t="shared" si="20"/>
        <v>2125.2407012250387</v>
      </c>
      <c r="J102" s="71"/>
      <c r="K102" s="34">
        <f t="shared" si="15"/>
        <v>255</v>
      </c>
      <c r="L102" s="34">
        <f t="shared" si="16"/>
        <v>185</v>
      </c>
      <c r="M102" s="34"/>
      <c r="N102" s="70">
        <f t="shared" si="21"/>
        <v>2125.2407012250387</v>
      </c>
      <c r="O102" s="71"/>
      <c r="P102" s="34">
        <f t="shared" si="17"/>
        <v>255</v>
      </c>
      <c r="Q102" s="34">
        <f t="shared" si="18"/>
        <v>185</v>
      </c>
      <c r="R102"/>
      <c r="S102" s="14"/>
    </row>
    <row r="103" spans="2:19" ht="12.75">
      <c r="B103"/>
      <c r="C103"/>
      <c r="D103"/>
      <c r="E103"/>
      <c r="F103"/>
      <c r="G103">
        <f t="shared" si="19"/>
        <v>95</v>
      </c>
      <c r="H103" s="23">
        <f t="shared" si="14"/>
        <v>1425</v>
      </c>
      <c r="I103" s="70">
        <f t="shared" si="20"/>
        <v>2153.5393626304513</v>
      </c>
      <c r="J103" s="71"/>
      <c r="K103" s="34">
        <f t="shared" si="15"/>
        <v>255</v>
      </c>
      <c r="L103" s="34">
        <f t="shared" si="16"/>
        <v>185</v>
      </c>
      <c r="M103" s="34"/>
      <c r="N103" s="70">
        <f t="shared" si="21"/>
        <v>2153.5393626304513</v>
      </c>
      <c r="O103" s="71"/>
      <c r="P103" s="34">
        <f t="shared" si="17"/>
        <v>255</v>
      </c>
      <c r="Q103" s="34">
        <f t="shared" si="18"/>
        <v>185</v>
      </c>
      <c r="R103"/>
      <c r="S103" s="14"/>
    </row>
    <row r="104" spans="2:19" ht="12.75">
      <c r="B104"/>
      <c r="C104"/>
      <c r="D104"/>
      <c r="E104"/>
      <c r="F104"/>
      <c r="G104">
        <f t="shared" si="19"/>
        <v>96</v>
      </c>
      <c r="H104" s="23">
        <f t="shared" si="14"/>
        <v>1440</v>
      </c>
      <c r="I104" s="70">
        <f t="shared" si="20"/>
        <v>2181.912593477087</v>
      </c>
      <c r="J104" s="71"/>
      <c r="K104" s="34">
        <f t="shared" si="15"/>
        <v>255</v>
      </c>
      <c r="L104" s="34">
        <f t="shared" si="16"/>
        <v>185</v>
      </c>
      <c r="M104" s="34"/>
      <c r="N104" s="70">
        <f t="shared" si="21"/>
        <v>2181.912593477087</v>
      </c>
      <c r="O104" s="71"/>
      <c r="P104" s="34">
        <f t="shared" si="17"/>
        <v>255</v>
      </c>
      <c r="Q104" s="34">
        <f t="shared" si="18"/>
        <v>185</v>
      </c>
      <c r="R104"/>
      <c r="S104" s="14"/>
    </row>
    <row r="105" spans="2:19" ht="12.75">
      <c r="B105"/>
      <c r="C105"/>
      <c r="D105"/>
      <c r="E105"/>
      <c r="F105"/>
      <c r="G105">
        <f t="shared" si="19"/>
        <v>97</v>
      </c>
      <c r="H105" s="23">
        <f t="shared" si="14"/>
        <v>1455</v>
      </c>
      <c r="I105" s="70">
        <f t="shared" si="20"/>
        <v>2210.359810410736</v>
      </c>
      <c r="J105" s="71"/>
      <c r="K105" s="34">
        <f t="shared" si="15"/>
        <v>255</v>
      </c>
      <c r="L105" s="34">
        <f t="shared" si="16"/>
        <v>185</v>
      </c>
      <c r="M105" s="34"/>
      <c r="N105" s="70">
        <f t="shared" si="21"/>
        <v>2210.359810410736</v>
      </c>
      <c r="O105" s="71"/>
      <c r="P105" s="34">
        <f t="shared" si="17"/>
        <v>255</v>
      </c>
      <c r="Q105" s="34">
        <f t="shared" si="18"/>
        <v>185</v>
      </c>
      <c r="R105"/>
      <c r="S105" s="14"/>
    </row>
    <row r="106" spans="2:19" ht="12.75">
      <c r="B106"/>
      <c r="C106"/>
      <c r="D106"/>
      <c r="E106"/>
      <c r="F106"/>
      <c r="G106">
        <f t="shared" si="19"/>
        <v>98</v>
      </c>
      <c r="H106" s="23">
        <f t="shared" si="14"/>
        <v>1470</v>
      </c>
      <c r="I106" s="70">
        <f t="shared" si="20"/>
        <v>2238.8804406157774</v>
      </c>
      <c r="J106" s="71"/>
      <c r="K106" s="34">
        <f t="shared" si="15"/>
        <v>255</v>
      </c>
      <c r="L106" s="34">
        <f t="shared" si="16"/>
        <v>185</v>
      </c>
      <c r="M106" s="34"/>
      <c r="N106" s="70">
        <f t="shared" si="21"/>
        <v>2238.8804406157774</v>
      </c>
      <c r="O106" s="71"/>
      <c r="P106" s="34">
        <f t="shared" si="17"/>
        <v>255</v>
      </c>
      <c r="Q106" s="34">
        <f t="shared" si="18"/>
        <v>185</v>
      </c>
      <c r="R106"/>
      <c r="S106" s="14"/>
    </row>
    <row r="107" spans="2:19" ht="12.75">
      <c r="B107"/>
      <c r="C107"/>
      <c r="D107"/>
      <c r="E107"/>
      <c r="F107"/>
      <c r="G107">
        <f t="shared" si="19"/>
        <v>99</v>
      </c>
      <c r="H107" s="23">
        <f t="shared" si="14"/>
        <v>1485</v>
      </c>
      <c r="I107" s="70">
        <f t="shared" si="20"/>
        <v>2267.4739215190643</v>
      </c>
      <c r="J107" s="71"/>
      <c r="K107" s="34">
        <f t="shared" si="15"/>
        <v>255</v>
      </c>
      <c r="L107" s="34">
        <f t="shared" si="16"/>
        <v>185</v>
      </c>
      <c r="M107" s="34"/>
      <c r="N107" s="70">
        <f t="shared" si="21"/>
        <v>2267.4739215190643</v>
      </c>
      <c r="O107" s="71"/>
      <c r="P107" s="34">
        <f t="shared" si="17"/>
        <v>255</v>
      </c>
      <c r="Q107" s="34">
        <f t="shared" si="18"/>
        <v>185</v>
      </c>
      <c r="R107"/>
      <c r="S107" s="14"/>
    </row>
    <row r="108" spans="2:19" ht="12.75">
      <c r="B108"/>
      <c r="C108"/>
      <c r="D108"/>
      <c r="E108"/>
      <c r="F108"/>
      <c r="G108"/>
      <c r="H108" s="23"/>
      <c r="I108" s="24"/>
      <c r="J108" s="7"/>
      <c r="K108" s="8"/>
      <c r="L108" s="8"/>
      <c r="M108" s="6"/>
      <c r="N108" s="24"/>
      <c r="O108" s="7"/>
      <c r="P108" s="7"/>
      <c r="Q108" s="7"/>
      <c r="R108" s="15"/>
      <c r="S108"/>
    </row>
    <row r="109" spans="2:19" ht="12.75">
      <c r="B109"/>
      <c r="C109"/>
      <c r="D109"/>
      <c r="E109"/>
      <c r="F109"/>
      <c r="G109"/>
      <c r="H109" s="25"/>
      <c r="I109" s="4"/>
      <c r="J109" s="4"/>
      <c r="K109" s="37"/>
      <c r="L109" s="37"/>
      <c r="M109" s="4"/>
      <c r="N109" s="4"/>
      <c r="O109" s="4"/>
      <c r="P109" s="4"/>
      <c r="Q109" s="4"/>
      <c r="R109" s="20"/>
      <c r="S109"/>
    </row>
    <row r="110" spans="2:19" ht="12.75">
      <c r="B110"/>
      <c r="C110"/>
      <c r="D110"/>
      <c r="E110"/>
      <c r="F110"/>
      <c r="G110" s="2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7" ht="12.75">
      <c r="B111"/>
      <c r="C111"/>
      <c r="D111"/>
      <c r="E111"/>
      <c r="G111" s="47"/>
      <c r="H111" s="48"/>
      <c r="I111" s="44"/>
      <c r="J111" s="45"/>
      <c r="M111" s="48"/>
      <c r="N111" s="44"/>
      <c r="P111" s="45"/>
      <c r="Q111" s="45"/>
    </row>
    <row r="112" spans="2:17" ht="12.75">
      <c r="B112"/>
      <c r="C112"/>
      <c r="D112"/>
      <c r="E112"/>
      <c r="G112" s="47"/>
      <c r="H112" s="48"/>
      <c r="I112" s="44"/>
      <c r="J112" s="45"/>
      <c r="M112" s="48"/>
      <c r="N112" s="44"/>
      <c r="P112" s="45"/>
      <c r="Q112" s="45"/>
    </row>
    <row r="113" spans="7:17" ht="12.75">
      <c r="G113" s="47"/>
      <c r="H113" s="48"/>
      <c r="I113" s="44"/>
      <c r="J113" s="45"/>
      <c r="M113" s="48"/>
      <c r="N113" s="44"/>
      <c r="P113" s="45"/>
      <c r="Q113" s="45"/>
    </row>
    <row r="114" spans="7:17" ht="12.75">
      <c r="G114" s="47"/>
      <c r="H114" s="48"/>
      <c r="I114" s="44"/>
      <c r="J114" s="45"/>
      <c r="M114" s="48"/>
      <c r="N114" s="44"/>
      <c r="P114" s="45"/>
      <c r="Q114" s="45"/>
    </row>
    <row r="115" spans="7:17" ht="12.75">
      <c r="G115" s="47"/>
      <c r="H115" s="48"/>
      <c r="I115" s="44"/>
      <c r="J115" s="45"/>
      <c r="M115" s="48"/>
      <c r="N115" s="44"/>
      <c r="P115" s="45"/>
      <c r="Q115" s="45"/>
    </row>
    <row r="116" spans="7:17" ht="12.75">
      <c r="G116" s="47"/>
      <c r="H116" s="48"/>
      <c r="I116" s="44"/>
      <c r="J116" s="45"/>
      <c r="M116" s="48"/>
      <c r="N116" s="44"/>
      <c r="P116" s="45"/>
      <c r="Q116" s="45"/>
    </row>
    <row r="117" spans="7:17" ht="12.75">
      <c r="G117" s="47"/>
      <c r="H117" s="48"/>
      <c r="I117" s="44"/>
      <c r="J117" s="45"/>
      <c r="M117" s="48"/>
      <c r="N117" s="44"/>
      <c r="P117" s="45"/>
      <c r="Q117" s="45"/>
    </row>
    <row r="118" spans="7:17" ht="12.75">
      <c r="G118" s="47"/>
      <c r="H118" s="48"/>
      <c r="I118" s="44"/>
      <c r="J118" s="45"/>
      <c r="M118" s="48"/>
      <c r="N118" s="44"/>
      <c r="P118" s="45"/>
      <c r="Q118" s="45"/>
    </row>
    <row r="119" spans="7:17" ht="12.75">
      <c r="G119" s="47"/>
      <c r="H119" s="48"/>
      <c r="I119" s="44"/>
      <c r="J119" s="45"/>
      <c r="M119" s="48"/>
      <c r="N119" s="44"/>
      <c r="P119" s="45"/>
      <c r="Q119" s="45"/>
    </row>
    <row r="120" spans="7:17" ht="12.75">
      <c r="G120" s="47"/>
      <c r="H120" s="48"/>
      <c r="I120" s="44"/>
      <c r="J120" s="45"/>
      <c r="M120" s="48"/>
      <c r="N120" s="44"/>
      <c r="P120" s="45"/>
      <c r="Q120" s="45"/>
    </row>
    <row r="121" spans="7:17" ht="12.75">
      <c r="G121" s="47"/>
      <c r="H121" s="48"/>
      <c r="I121" s="44"/>
      <c r="J121" s="45"/>
      <c r="M121" s="48"/>
      <c r="N121" s="44"/>
      <c r="P121" s="45"/>
      <c r="Q121" s="45"/>
    </row>
    <row r="122" spans="7:17" ht="12.75">
      <c r="G122" s="47"/>
      <c r="H122" s="48"/>
      <c r="I122" s="44"/>
      <c r="J122" s="45"/>
      <c r="M122" s="48"/>
      <c r="N122" s="44"/>
      <c r="P122" s="45"/>
      <c r="Q122" s="45"/>
    </row>
    <row r="123" spans="7:17" ht="12.75">
      <c r="G123" s="47"/>
      <c r="H123" s="48"/>
      <c r="I123" s="44"/>
      <c r="J123" s="45"/>
      <c r="M123" s="48"/>
      <c r="N123" s="44"/>
      <c r="P123" s="45"/>
      <c r="Q123" s="45"/>
    </row>
    <row r="124" spans="7:17" ht="12.75">
      <c r="G124" s="47"/>
      <c r="H124" s="48"/>
      <c r="I124" s="44"/>
      <c r="J124" s="45"/>
      <c r="M124" s="48"/>
      <c r="N124" s="44"/>
      <c r="P124" s="45"/>
      <c r="Q124" s="45"/>
    </row>
    <row r="125" spans="7:17" ht="12.75">
      <c r="G125" s="47"/>
      <c r="H125" s="48"/>
      <c r="I125" s="44"/>
      <c r="J125" s="45"/>
      <c r="M125" s="48"/>
      <c r="N125" s="44"/>
      <c r="P125" s="45"/>
      <c r="Q125" s="45"/>
    </row>
    <row r="126" spans="7:17" ht="12.75">
      <c r="G126" s="47"/>
      <c r="H126" s="48"/>
      <c r="I126" s="44"/>
      <c r="J126" s="45"/>
      <c r="M126" s="48"/>
      <c r="N126" s="44"/>
      <c r="P126" s="45"/>
      <c r="Q126" s="45"/>
    </row>
    <row r="127" spans="7:17" ht="12.75">
      <c r="G127" s="47"/>
      <c r="H127" s="48"/>
      <c r="I127" s="44"/>
      <c r="J127" s="45"/>
      <c r="M127" s="48"/>
      <c r="N127" s="44"/>
      <c r="P127" s="45"/>
      <c r="Q127" s="45"/>
    </row>
    <row r="128" spans="7:17" ht="12.75">
      <c r="G128" s="47"/>
      <c r="H128" s="48"/>
      <c r="I128" s="44"/>
      <c r="J128" s="45"/>
      <c r="M128" s="48"/>
      <c r="N128" s="44"/>
      <c r="P128" s="45"/>
      <c r="Q128" s="45"/>
    </row>
    <row r="129" spans="7:17" ht="12.75">
      <c r="G129" s="47"/>
      <c r="H129" s="48"/>
      <c r="I129" s="44"/>
      <c r="J129" s="45"/>
      <c r="M129" s="48"/>
      <c r="N129" s="44"/>
      <c r="P129" s="45"/>
      <c r="Q129" s="45"/>
    </row>
    <row r="130" spans="7:17" ht="12.75">
      <c r="G130" s="47"/>
      <c r="H130" s="48"/>
      <c r="I130" s="44"/>
      <c r="J130" s="45"/>
      <c r="M130" s="48"/>
      <c r="N130" s="44"/>
      <c r="P130" s="45"/>
      <c r="Q130" s="45"/>
    </row>
    <row r="131" spans="7:17" ht="12.75">
      <c r="G131" s="47"/>
      <c r="H131" s="48"/>
      <c r="I131" s="44"/>
      <c r="J131" s="45"/>
      <c r="M131" s="48"/>
      <c r="N131" s="44"/>
      <c r="P131" s="45"/>
      <c r="Q131" s="45"/>
    </row>
    <row r="132" spans="7:17" ht="12.75">
      <c r="G132" s="47"/>
      <c r="H132" s="48"/>
      <c r="I132" s="44"/>
      <c r="J132" s="45"/>
      <c r="M132" s="48"/>
      <c r="N132" s="44"/>
      <c r="P132" s="45"/>
      <c r="Q132" s="45"/>
    </row>
    <row r="133" spans="7:17" ht="12.75">
      <c r="G133" s="47"/>
      <c r="H133" s="48"/>
      <c r="I133" s="44"/>
      <c r="J133" s="45"/>
      <c r="M133" s="48"/>
      <c r="N133" s="44"/>
      <c r="P133" s="45"/>
      <c r="Q133" s="45"/>
    </row>
    <row r="134" spans="7:17" ht="12.75">
      <c r="G134" s="47"/>
      <c r="H134" s="48"/>
      <c r="I134" s="44"/>
      <c r="J134" s="45"/>
      <c r="M134" s="48"/>
      <c r="N134" s="44"/>
      <c r="P134" s="45"/>
      <c r="Q134" s="45"/>
    </row>
    <row r="135" spans="7:17" ht="12.75">
      <c r="G135" s="47"/>
      <c r="H135" s="48"/>
      <c r="I135" s="44"/>
      <c r="J135" s="45"/>
      <c r="M135" s="48"/>
      <c r="N135" s="44"/>
      <c r="P135" s="45"/>
      <c r="Q135" s="45"/>
    </row>
    <row r="136" spans="7:17" ht="12.75">
      <c r="G136" s="47"/>
      <c r="H136" s="48"/>
      <c r="I136" s="44"/>
      <c r="J136" s="45"/>
      <c r="M136" s="48"/>
      <c r="N136" s="44"/>
      <c r="P136" s="45"/>
      <c r="Q136" s="45"/>
    </row>
    <row r="137" spans="7:17" ht="12.75">
      <c r="G137" s="47"/>
      <c r="H137" s="48"/>
      <c r="I137" s="44"/>
      <c r="J137" s="45"/>
      <c r="M137" s="48"/>
      <c r="N137" s="44"/>
      <c r="P137" s="45"/>
      <c r="Q137" s="45"/>
    </row>
    <row r="138" spans="7:17" ht="12.75">
      <c r="G138" s="47"/>
      <c r="H138" s="48"/>
      <c r="I138" s="44"/>
      <c r="J138" s="45"/>
      <c r="M138" s="48"/>
      <c r="N138" s="44"/>
      <c r="P138" s="45"/>
      <c r="Q138" s="45"/>
    </row>
    <row r="139" spans="7:17" ht="12.75">
      <c r="G139" s="47"/>
      <c r="H139" s="48"/>
      <c r="I139" s="44"/>
      <c r="J139" s="45"/>
      <c r="M139" s="48"/>
      <c r="N139" s="44"/>
      <c r="P139" s="45"/>
      <c r="Q139" s="45"/>
    </row>
    <row r="140" spans="7:17" ht="12.75">
      <c r="G140" s="47"/>
      <c r="H140" s="48"/>
      <c r="I140" s="44"/>
      <c r="J140" s="45"/>
      <c r="M140" s="48"/>
      <c r="N140" s="44"/>
      <c r="P140" s="45"/>
      <c r="Q140" s="45"/>
    </row>
    <row r="141" spans="7:17" ht="12.75">
      <c r="G141" s="47"/>
      <c r="H141" s="48"/>
      <c r="I141" s="44"/>
      <c r="J141" s="45"/>
      <c r="M141" s="48"/>
      <c r="N141" s="44"/>
      <c r="O141" s="44"/>
      <c r="P141" s="45"/>
      <c r="Q141" s="45"/>
    </row>
    <row r="142" spans="7:10" ht="12.75">
      <c r="G142" s="47"/>
      <c r="J142" s="45"/>
    </row>
    <row r="143" ht="12.75">
      <c r="F143" s="47"/>
    </row>
    <row r="144" ht="12.75">
      <c r="F144" s="47"/>
    </row>
    <row r="145" ht="12.75">
      <c r="F145" s="47"/>
    </row>
    <row r="146" ht="12.75">
      <c r="F146" s="47"/>
    </row>
    <row r="147" ht="12.75">
      <c r="F147" s="47"/>
    </row>
    <row r="148" ht="12.75">
      <c r="F148" s="47"/>
    </row>
    <row r="149" ht="12.75">
      <c r="F149" s="47"/>
    </row>
    <row r="150" ht="12.75">
      <c r="F150" s="47"/>
    </row>
    <row r="151" ht="12.75">
      <c r="F151" s="47"/>
    </row>
    <row r="152" ht="12.75">
      <c r="F152" s="47"/>
    </row>
    <row r="153" ht="12.75">
      <c r="F153" s="47"/>
    </row>
    <row r="154" ht="12.75">
      <c r="F154" s="47"/>
    </row>
    <row r="155" ht="12.75">
      <c r="F155" s="47"/>
    </row>
    <row r="156" ht="12.75">
      <c r="F156" s="47"/>
    </row>
    <row r="157" ht="12.75">
      <c r="F157" s="47"/>
    </row>
    <row r="158" ht="12.75">
      <c r="F158" s="47"/>
    </row>
    <row r="159" ht="12.75">
      <c r="F159" s="47"/>
    </row>
    <row r="160" ht="12.75">
      <c r="F160" s="47"/>
    </row>
    <row r="161" ht="12.75">
      <c r="F161" s="47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Single-market simulation model</dc:title>
  <dc:subject/>
  <dc:creator>Nick Minot</dc:creator>
  <cp:keywords/>
  <dc:description>This Excel spreadsheet can be used to simulate the effects of changes in supply, demand, income, and tariff rates on production, consumption, imports and price.</dc:description>
  <cp:lastModifiedBy>Payne, Kenna</cp:lastModifiedBy>
  <dcterms:created xsi:type="dcterms:W3CDTF">2007-11-05T21:33:01Z</dcterms:created>
  <dcterms:modified xsi:type="dcterms:W3CDTF">2018-05-23T20:07:14Z</dcterms:modified>
  <cp:category/>
  <cp:version/>
  <cp:contentType/>
  <cp:contentStatus/>
</cp:coreProperties>
</file>