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66" activeTab="0"/>
  </bookViews>
  <sheets>
    <sheet name="NOTES" sheetId="1" r:id="rId1"/>
    <sheet name="Data - Stabilization" sheetId="2" r:id="rId2"/>
    <sheet name="Dar es Salaam M P" sheetId="3" r:id="rId3"/>
    <sheet name="1 - CV of Random Variables" sheetId="4" r:id="rId4"/>
    <sheet name="2 - Stabilization" sheetId="5" r:id="rId5"/>
  </sheets>
  <definedNames>
    <definedName name="Buy_price">'2 - Stabilization'!$C$18</definedName>
    <definedName name="Dalpha">'Data - Stabilization'!$D$16</definedName>
    <definedName name="Dbeta">'Data - Stabilization'!$D$17</definedName>
    <definedName name="Dgamma">'Data - Stabilization'!$D$18</definedName>
    <definedName name="Edi">'2 - Stabilization'!#REF!</definedName>
    <definedName name="Edp">'2 - Stabilization'!$C$9</definedName>
    <definedName name="Edy">'2 - Stabilization'!#REF!</definedName>
    <definedName name="Es">'2 - Stabilization'!$C$8</definedName>
    <definedName name="ExchRate">'2 - Stabilization'!#REF!</definedName>
    <definedName name="Export_parity_price">'Data - Stabilization'!$D$26</definedName>
    <definedName name="Export_tax">'2 - Stabilization'!$C$14</definedName>
    <definedName name="Import_parity_price">'Data - Stabilization'!$D$25</definedName>
    <definedName name="Import_tariff">'2 - Stabilization'!$C$15</definedName>
    <definedName name="Initial_fund">'2 - Stabilization'!$C$23</definedName>
    <definedName name="Initial_stock">'2 - Stabilization'!$C$22</definedName>
    <definedName name="Interest_rate">'2 - Stabilization'!$C$20</definedName>
    <definedName name="M">'2 - Stabilization'!$C$6</definedName>
    <definedName name="M_0">'2 - Stabilization'!$C$29</definedName>
    <definedName name="M_1">'2 - Stabilization'!$E$29</definedName>
    <definedName name="M0">'2 - Stabilization'!$C$29</definedName>
    <definedName name="P">'2 - Stabilization'!$C$7</definedName>
    <definedName name="P_0">'2 - Stabilization'!#REF!</definedName>
    <definedName name="P_1">'2 - Stabilization'!#REF!</definedName>
    <definedName name="P_autarky_0">'Data - Stabilization'!$D$30</definedName>
    <definedName name="P_autarky_1">'Data - Stabilization'!#REF!</definedName>
    <definedName name="P_initial">'2 - Stabilization'!#REF!</definedName>
    <definedName name="P_local_currency">'2 - Stabilization'!$C$7</definedName>
    <definedName name="P0">'2 - Stabilization'!#REF!</definedName>
    <definedName name="PctChIncome">'2 - Stabilization'!#REF!</definedName>
    <definedName name="PctChPrice">'2 - Stabilization'!#REF!</definedName>
    <definedName name="PctChSupply">'2 - Stabilization'!#REF!</definedName>
    <definedName name="Pw">'2 - Stabilization'!$C$12</definedName>
    <definedName name="Pw_0">'2 - Stabilization'!$C$12</definedName>
    <definedName name="Qd">'2 - Stabilization'!$C$5</definedName>
    <definedName name="Qs">'2 - Stabilization'!$C$4</definedName>
    <definedName name="Qs0">'2 - Stabilization'!$C$27</definedName>
    <definedName name="Qs1">'2 - Stabilization'!$E$27</definedName>
    <definedName name="S_BS">'Data - Stabilization'!$X$10:$X$16</definedName>
    <definedName name="Salpha">'Data - Stabilization'!$D$10</definedName>
    <definedName name="Sbeta">'Data - Stabilization'!$D$11</definedName>
    <definedName name="Sell_price">'2 - Stabilization'!$C$17</definedName>
    <definedName name="StdDevS">'2 - Stabilization'!$C$10</definedName>
    <definedName name="Storage_capacity">'2 - Stabilization'!$C$24</definedName>
    <definedName name="Storage_cost">'2 - Stabilization'!$C$19</definedName>
    <definedName name="Transfer_cost">'2 - Stabilization'!$C$13</definedName>
    <definedName name="Transport_cost">'2 - Stabilization'!$C$21</definedName>
    <definedName name="Y">'Data - Stabilization'!$D$15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2"/>
          </rPr>
          <t>Real Maize price deflated using CPI from Bank of Tanzania</t>
        </r>
      </text>
    </comment>
  </commentList>
</comments>
</file>

<file path=xl/sharedStrings.xml><?xml version="1.0" encoding="utf-8"?>
<sst xmlns="http://schemas.openxmlformats.org/spreadsheetml/2006/main" count="238" uniqueCount="160">
  <si>
    <t>Supply elasticity</t>
  </si>
  <si>
    <t>Price elasticity of demand</t>
  </si>
  <si>
    <t>tons</t>
  </si>
  <si>
    <t>Supply intercept (α)</t>
  </si>
  <si>
    <t>Supply price coefficient (β)</t>
  </si>
  <si>
    <t xml:space="preserve">Production </t>
  </si>
  <si>
    <t>Consumption</t>
  </si>
  <si>
    <t>Imports</t>
  </si>
  <si>
    <t>Demand intercept (α)</t>
  </si>
  <si>
    <t>Demand price coefficient (β)</t>
  </si>
  <si>
    <t>ln(Q) = α + β*ln(P)</t>
  </si>
  <si>
    <t>Supply curve</t>
  </si>
  <si>
    <t>Demand curve</t>
  </si>
  <si>
    <t xml:space="preserve">Results </t>
  </si>
  <si>
    <t>Calculation of supply and demand curve coefficients</t>
  </si>
  <si>
    <t>Domestic price</t>
  </si>
  <si>
    <t>US$/ton</t>
  </si>
  <si>
    <t>Income (US$/person/year)</t>
  </si>
  <si>
    <t>Import tariff rate</t>
  </si>
  <si>
    <t>percent</t>
  </si>
  <si>
    <t xml:space="preserve">Note: This worksheet shows the calculations to generate graphs and tables.  </t>
  </si>
  <si>
    <t>Period</t>
  </si>
  <si>
    <t>Pct shift in</t>
  </si>
  <si>
    <t>supply</t>
  </si>
  <si>
    <t>Export tax rate</t>
  </si>
  <si>
    <t>World price</t>
  </si>
  <si>
    <t>Import parity price</t>
  </si>
  <si>
    <t>Export parity price</t>
  </si>
  <si>
    <t>CV</t>
  </si>
  <si>
    <t xml:space="preserve">  Production</t>
  </si>
  <si>
    <t xml:space="preserve">  Consumption</t>
  </si>
  <si>
    <t xml:space="preserve">  Price</t>
  </si>
  <si>
    <t xml:space="preserve">  Import volume</t>
  </si>
  <si>
    <t xml:space="preserve">  Tariff revenue</t>
  </si>
  <si>
    <t>Transfer cost to/from world mkt</t>
  </si>
  <si>
    <t>Buffer stock buying price</t>
  </si>
  <si>
    <t>Buffer stock selling price</t>
  </si>
  <si>
    <t>No trade, no buffer stock</t>
  </si>
  <si>
    <t>With trade, no buffer stock</t>
  </si>
  <si>
    <t>Price</t>
  </si>
  <si>
    <t>Production</t>
  </si>
  <si>
    <t>Tons</t>
  </si>
  <si>
    <t>US$ m</t>
  </si>
  <si>
    <t>Storage costs</t>
  </si>
  <si>
    <t>m US$</t>
  </si>
  <si>
    <t>US$/ton/year</t>
  </si>
  <si>
    <t>Initial stock</t>
  </si>
  <si>
    <t>Initial fund for buffer stock</t>
  </si>
  <si>
    <t xml:space="preserve">Buffer stock, no trade </t>
  </si>
  <si>
    <t xml:space="preserve">ln(Q) = α + β*ln(P) </t>
  </si>
  <si>
    <t xml:space="preserve">Tariff  </t>
  </si>
  <si>
    <t>revenue</t>
  </si>
  <si>
    <t>Change in</t>
  </si>
  <si>
    <t>stock</t>
  </si>
  <si>
    <t>Cumulative</t>
  </si>
  <si>
    <t>Trading</t>
  </si>
  <si>
    <t>costs</t>
  </si>
  <si>
    <t xml:space="preserve">Storage </t>
  </si>
  <si>
    <t>cost</t>
  </si>
  <si>
    <t>Annual</t>
  </si>
  <si>
    <t>US$/tons</t>
  </si>
  <si>
    <t>Minimum</t>
  </si>
  <si>
    <t>shock</t>
  </si>
  <si>
    <t>Average</t>
  </si>
  <si>
    <t xml:space="preserve">  Gross farm revenue</t>
  </si>
  <si>
    <t>Gross farm</t>
  </si>
  <si>
    <t>Cost of transport to/from silos</t>
  </si>
  <si>
    <t>Interest rate</t>
  </si>
  <si>
    <t>Interest</t>
  </si>
  <si>
    <t>Transport</t>
  </si>
  <si>
    <t>Trade assumptions</t>
  </si>
  <si>
    <t>General assumptions</t>
  </si>
  <si>
    <t>Buffer stock assumptions</t>
  </si>
  <si>
    <t>Balance</t>
  </si>
  <si>
    <t>left over</t>
  </si>
  <si>
    <t>Figure 1.  Food prices with and without international trade</t>
  </si>
  <si>
    <t>Figure 2.  Food prices with and without an perfectly functioning buffer stock</t>
  </si>
  <si>
    <t xml:space="preserve">Model of food price stabilization </t>
  </si>
  <si>
    <t>CV of production</t>
  </si>
  <si>
    <t>Stock out</t>
  </si>
  <si>
    <t>Exhausted budget</t>
  </si>
  <si>
    <t>Storage capacity</t>
  </si>
  <si>
    <t>Indicators</t>
  </si>
  <si>
    <t>budget</t>
  </si>
  <si>
    <t>capacity</t>
  </si>
  <si>
    <t xml:space="preserve">  Annual prob of exhausting budget</t>
  </si>
  <si>
    <t xml:space="preserve">  Annual prob of exhausting stock</t>
  </si>
  <si>
    <t xml:space="preserve">  Prob of exhausting stock in 10 yrs</t>
  </si>
  <si>
    <t xml:space="preserve">  Prob of exhausting fund in 10 yrs</t>
  </si>
  <si>
    <t xml:space="preserve">  Prob of exceeding storage in 10 yrs</t>
  </si>
  <si>
    <t xml:space="preserve">  Average annual cost of buffer stock</t>
  </si>
  <si>
    <t xml:space="preserve">  Percent of years with purchase</t>
  </si>
  <si>
    <t xml:space="preserve">  Percent of years with sale</t>
  </si>
  <si>
    <t>Sales</t>
  </si>
  <si>
    <t>Purchases</t>
  </si>
  <si>
    <t xml:space="preserve">Exhausted </t>
  </si>
  <si>
    <t>Average price</t>
  </si>
  <si>
    <t>Actual average</t>
  </si>
  <si>
    <t>Std dev</t>
  </si>
  <si>
    <t>Actual std dev</t>
  </si>
  <si>
    <t>CV (avg/stddev)</t>
  </si>
  <si>
    <t xml:space="preserve">Actual CV </t>
  </si>
  <si>
    <t xml:space="preserve">         For calibration and simulation, change only the numbers in the yellow boxes</t>
  </si>
  <si>
    <t>Coefficient of Variation and Generating Random Numbers</t>
  </si>
  <si>
    <t>Dar es Salaam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</si>
  <si>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</si>
  <si>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</si>
  <si>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</si>
  <si>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</si>
  <si>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</si>
  <si>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</si>
  <si>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</si>
  <si>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</si>
  <si>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</si>
  <si>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</si>
  <si>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</si>
  <si>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</si>
  <si>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</si>
  <si>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</si>
  <si>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</si>
  <si>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</si>
  <si>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</si>
  <si>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The exercises in this workbook correspond to the Powerpoint presentation entitled:</t>
  </si>
  <si>
    <t>[Data - Stabilization]</t>
  </si>
  <si>
    <t>Created by Nicholas Minot (IFPRI)</t>
  </si>
  <si>
    <t>Contains randomly generated data for use in [Ex 2 - Stabilization]</t>
  </si>
  <si>
    <t>different magnitudes of variation by changing CV</t>
  </si>
  <si>
    <t>In this exercise, examine the formula for generating random numbers and compare several</t>
  </si>
  <si>
    <t>For example: What's the difference between: C3, C$3, $C3, and $C$3?</t>
  </si>
  <si>
    <t>Tip: Make sure to understand the different types of cell references</t>
  </si>
  <si>
    <t>Tip: The data is regenerated by pressing F9</t>
  </si>
  <si>
    <t>Part 1: Supply and price instability</t>
  </si>
  <si>
    <t>In this exercise, evaluate the change in CV of prices with a change in CV of production</t>
  </si>
  <si>
    <t>Also, compare CV of price at different price elasticities of demand</t>
  </si>
  <si>
    <t>Part 2: Trade and price instability</t>
  </si>
  <si>
    <t>Compare prices with and without trade by examining the data and figure 1.</t>
  </si>
  <si>
    <t>In this exercise, change trade costs (transfer costs, taxes, etc) to compare impact on price</t>
  </si>
  <si>
    <t>Part 3: Effect of price band width</t>
  </si>
  <si>
    <t>In this exercise, change the price band and compare results before and after.</t>
  </si>
  <si>
    <t>Part 4:  Effect of level of the price band</t>
  </si>
  <si>
    <t>In this exercise, increase and decrease the level of the price band and comare the results.</t>
  </si>
  <si>
    <t>[2 - Stabilization]</t>
  </si>
  <si>
    <t>With buffer stock, no trade</t>
  </si>
  <si>
    <t xml:space="preserve">  Purchases (sales) by buffer stock</t>
  </si>
  <si>
    <t>tons/year</t>
  </si>
  <si>
    <t xml:space="preserve">  Annual prob of exceeding storage</t>
  </si>
  <si>
    <t>Worksheets</t>
  </si>
  <si>
    <t>[1 - CV of Random Variables]</t>
  </si>
  <si>
    <t>[Dar es Salaam M P]</t>
  </si>
  <si>
    <t>Contains real maize price for Dar es Salaam, Tanzania</t>
  </si>
  <si>
    <t>Used to create slide 4 in Power Point, included to give example of actual price data from SSA</t>
  </si>
  <si>
    <t>Source: Bank of Tanzania &amp; Tanzania Ministry of Industry, Trade and Marketing</t>
  </si>
  <si>
    <t>Worksheet Color Scheme</t>
  </si>
  <si>
    <t>Yellow = User alterable cells.</t>
  </si>
  <si>
    <t>Yellow cells are meant to be altered by the user, either by changing values or computing values</t>
  </si>
  <si>
    <t>They are often linked to graphs or tables which are blank until the data is correctly entered</t>
  </si>
  <si>
    <t>Green = Results cells</t>
  </si>
  <si>
    <t xml:space="preserve">These cells change depending upon the values in the yellow cells, </t>
  </si>
  <si>
    <t>Do not alter the green cells</t>
  </si>
  <si>
    <t>"AAMP Module 3.4 - "Price Stabilization" of the AAMP Training Materials.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</si>
</sst>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_);_(* \(#,##0\);_(* &quot;-&quot;?_);_(@_)"/>
    <numFmt numFmtId="168" formatCode="#,##0.0"/>
    <numFmt numFmtId="169" formatCode="0.0000"/>
    <numFmt numFmtId="170" formatCode="0.000"/>
    <numFmt numFmtId="171" formatCode="0.0"/>
    <numFmt numFmtId="172" formatCode="0.00000"/>
    <numFmt numFmtId="173" formatCode="0.000000"/>
    <numFmt numFmtId="174" formatCode="0.0000000"/>
    <numFmt numFmtId="175" formatCode="[$-409]dddd\,\ mmmm\ dd\,\ yyyy"/>
    <numFmt numFmtId="176" formatCode="[$-409]h:mm:ss\ AM/PM"/>
    <numFmt numFmtId="177" formatCode="#,##0.000000000000000"/>
    <numFmt numFmtId="178" formatCode="#,##0.00000000000000"/>
    <numFmt numFmtId="179" formatCode="#,##0.0000000000000"/>
    <numFmt numFmtId="180" formatCode="#,##0.000000000000"/>
    <numFmt numFmtId="181" formatCode="#,##0.00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0.000000000000000%"/>
    <numFmt numFmtId="191" formatCode="0.0%"/>
    <numFmt numFmtId="192" formatCode="[$-409]mmm\-yy;@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5" xfId="42" applyNumberFormat="1" applyFont="1" applyBorder="1" applyAlignment="1">
      <alignment horizontal="right"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 horizontal="left"/>
    </xf>
    <xf numFmtId="165" fontId="0" fillId="0" borderId="0" xfId="42" applyNumberFormat="1" applyFont="1" applyFill="1" applyAlignment="1">
      <alignment horizontal="left"/>
    </xf>
    <xf numFmtId="165" fontId="0" fillId="0" borderId="10" xfId="42" applyNumberFormat="1" applyFont="1" applyFill="1" applyBorder="1" applyAlignment="1">
      <alignment horizontal="left"/>
    </xf>
    <xf numFmtId="165" fontId="0" fillId="0" borderId="0" xfId="42" applyNumberFormat="1" applyFont="1" applyFill="1" applyBorder="1" applyAlignment="1">
      <alignment horizontal="left"/>
    </xf>
    <xf numFmtId="165" fontId="0" fillId="0" borderId="10" xfId="42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5" fontId="0" fillId="33" borderId="0" xfId="42" applyNumberFormat="1" applyFont="1" applyFill="1" applyAlignment="1">
      <alignment/>
    </xf>
    <xf numFmtId="2" fontId="0" fillId="33" borderId="0" xfId="42" applyNumberFormat="1" applyFont="1" applyFill="1" applyAlignment="1">
      <alignment/>
    </xf>
    <xf numFmtId="9" fontId="0" fillId="33" borderId="10" xfId="58" applyFont="1" applyFill="1" applyBorder="1" applyAlignment="1">
      <alignment/>
    </xf>
    <xf numFmtId="165" fontId="0" fillId="33" borderId="0" xfId="42" applyNumberFormat="1" applyFont="1" applyFill="1" applyBorder="1" applyAlignment="1">
      <alignment/>
    </xf>
    <xf numFmtId="9" fontId="0" fillId="33" borderId="0" xfId="58" applyFont="1" applyFill="1" applyAlignment="1">
      <alignment/>
    </xf>
    <xf numFmtId="1" fontId="0" fillId="33" borderId="0" xfId="42" applyNumberFormat="1" applyFont="1" applyFill="1" applyAlignment="1">
      <alignment/>
    </xf>
    <xf numFmtId="165" fontId="0" fillId="34" borderId="0" xfId="42" applyNumberFormat="1" applyFont="1" applyFill="1" applyAlignment="1">
      <alignment/>
    </xf>
    <xf numFmtId="165" fontId="0" fillId="34" borderId="0" xfId="42" applyNumberFormat="1" applyFont="1" applyFill="1" applyBorder="1" applyAlignment="1">
      <alignment/>
    </xf>
    <xf numFmtId="165" fontId="0" fillId="34" borderId="10" xfId="42" applyNumberFormat="1" applyFont="1" applyFill="1" applyBorder="1" applyAlignment="1">
      <alignment/>
    </xf>
    <xf numFmtId="165" fontId="0" fillId="34" borderId="0" xfId="42" applyNumberFormat="1" applyFont="1" applyFill="1" applyBorder="1" applyAlignment="1">
      <alignment/>
    </xf>
    <xf numFmtId="43" fontId="0" fillId="34" borderId="10" xfId="42" applyNumberFormat="1" applyFont="1" applyFill="1" applyBorder="1" applyAlignment="1">
      <alignment/>
    </xf>
    <xf numFmtId="1" fontId="0" fillId="34" borderId="0" xfId="0" applyNumberFormat="1" applyFill="1" applyBorder="1" applyAlignment="1">
      <alignment/>
    </xf>
    <xf numFmtId="3" fontId="0" fillId="34" borderId="0" xfId="42" applyNumberFormat="1" applyFont="1" applyFill="1" applyBorder="1" applyAlignment="1">
      <alignment/>
    </xf>
    <xf numFmtId="9" fontId="0" fillId="34" borderId="0" xfId="58" applyFont="1" applyFill="1" applyBorder="1" applyAlignment="1">
      <alignment/>
    </xf>
    <xf numFmtId="9" fontId="0" fillId="34" borderId="0" xfId="58" applyFont="1" applyFill="1" applyAlignment="1">
      <alignment/>
    </xf>
    <xf numFmtId="9" fontId="0" fillId="34" borderId="0" xfId="58" applyFont="1" applyFill="1" applyAlignment="1">
      <alignment horizontal="right"/>
    </xf>
    <xf numFmtId="9" fontId="0" fillId="34" borderId="10" xfId="58" applyFont="1" applyFill="1" applyBorder="1" applyAlignment="1">
      <alignment horizontal="right"/>
    </xf>
    <xf numFmtId="9" fontId="0" fillId="34" borderId="0" xfId="58" applyFont="1" applyFill="1" applyAlignment="1">
      <alignment/>
    </xf>
    <xf numFmtId="9" fontId="0" fillId="34" borderId="0" xfId="58" applyFont="1" applyFill="1" applyBorder="1" applyAlignment="1">
      <alignment/>
    </xf>
    <xf numFmtId="9" fontId="0" fillId="34" borderId="10" xfId="58" applyFont="1" applyFill="1" applyBorder="1" applyAlignment="1">
      <alignment/>
    </xf>
    <xf numFmtId="9" fontId="0" fillId="34" borderId="0" xfId="58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7" fillId="0" borderId="0" xfId="55" applyFont="1">
      <alignment/>
      <protection/>
    </xf>
    <xf numFmtId="0" fontId="48" fillId="0" borderId="0" xfId="55" applyFont="1">
      <alignment/>
      <protection/>
    </xf>
    <xf numFmtId="0" fontId="48" fillId="34" borderId="0" xfId="55" applyFont="1" applyFill="1">
      <alignment/>
      <protection/>
    </xf>
    <xf numFmtId="171" fontId="48" fillId="0" borderId="0" xfId="55" applyNumberFormat="1" applyFont="1">
      <alignment/>
      <protection/>
    </xf>
    <xf numFmtId="9" fontId="48" fillId="0" borderId="0" xfId="59" applyFont="1" applyAlignment="1">
      <alignment/>
    </xf>
    <xf numFmtId="191" fontId="48" fillId="0" borderId="0" xfId="59" applyNumberFormat="1" applyFont="1" applyAlignment="1">
      <alignment/>
    </xf>
    <xf numFmtId="3" fontId="0" fillId="0" borderId="0" xfId="42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3" fontId="0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15" xfId="42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0" fillId="0" borderId="0" xfId="42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9" fontId="0" fillId="0" borderId="12" xfId="58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65" fontId="0" fillId="0" borderId="12" xfId="42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7" fontId="0" fillId="0" borderId="14" xfId="0" applyNumberFormat="1" applyFont="1" applyBorder="1" applyAlignment="1">
      <alignment/>
    </xf>
    <xf numFmtId="9" fontId="0" fillId="0" borderId="0" xfId="58" applyFont="1" applyAlignment="1">
      <alignment horizontal="left"/>
    </xf>
    <xf numFmtId="2" fontId="0" fillId="0" borderId="0" xfId="0" applyNumberFormat="1" applyFont="1" applyBorder="1" applyAlignment="1">
      <alignment/>
    </xf>
    <xf numFmtId="43" fontId="0" fillId="0" borderId="1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" fontId="0" fillId="0" borderId="15" xfId="42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3" fontId="0" fillId="0" borderId="10" xfId="42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/>
    </xf>
    <xf numFmtId="9" fontId="0" fillId="0" borderId="0" xfId="58" applyFont="1" applyFill="1" applyBorder="1" applyAlignment="1">
      <alignment/>
    </xf>
    <xf numFmtId="0" fontId="5" fillId="0" borderId="0" xfId="0" applyFont="1" applyAlignment="1">
      <alignment/>
    </xf>
    <xf numFmtId="0" fontId="48" fillId="33" borderId="0" xfId="55" applyFont="1" applyFill="1">
      <alignment/>
      <protection/>
    </xf>
    <xf numFmtId="171" fontId="48" fillId="34" borderId="0" xfId="55" applyNumberFormat="1" applyFont="1" applyFill="1">
      <alignment/>
      <protection/>
    </xf>
    <xf numFmtId="165" fontId="0" fillId="0" borderId="0" xfId="42" applyNumberFormat="1" applyFont="1" applyFill="1" applyAlignment="1">
      <alignment/>
    </xf>
    <xf numFmtId="9" fontId="0" fillId="0" borderId="0" xfId="58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5" fontId="3" fillId="0" borderId="10" xfId="42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92" fontId="0" fillId="0" borderId="0" xfId="0" applyNumberFormat="1" applyFont="1" applyAlignment="1" quotePrefix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96" fontId="0" fillId="0" borderId="0" xfId="0" applyNumberFormat="1" applyAlignment="1">
      <alignment horizontal="left" indent="1"/>
    </xf>
    <xf numFmtId="43" fontId="0" fillId="0" borderId="0" xfId="42" applyFont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48" fillId="0" borderId="0" xfId="55" applyFont="1" applyFill="1">
      <alignment/>
      <protection/>
    </xf>
    <xf numFmtId="0" fontId="0" fillId="0" borderId="0" xfId="0" applyFont="1" applyAlignment="1">
      <alignment horizontal="right"/>
    </xf>
    <xf numFmtId="0" fontId="50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0" fillId="33" borderId="14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34" borderId="14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Dar es Salaam Real Maize Price (Tsh)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1993 - 2008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885"/>
          <c:w val="0.95"/>
          <c:h val="0.81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'Dar es Salaam M P'!$B$2:$B$195</c:f>
              <c:strCache/>
            </c:strRef>
          </c:cat>
          <c:val>
            <c:numRef>
              <c:f>'Dar es Salaam M P'!$C$2:$C$195</c:f>
              <c:numCache/>
            </c:numRef>
          </c:val>
          <c:smooth val="0"/>
        </c:ser>
        <c:marker val="1"/>
        <c:axId val="6529735"/>
        <c:axId val="58767616"/>
      </c:lineChart>
      <c:catAx>
        <c:axId val="652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67616"/>
        <c:crosses val="autoZero"/>
        <c:auto val="1"/>
        <c:lblOffset val="100"/>
        <c:tickLblSkip val="1"/>
        <c:noMultiLvlLbl val="0"/>
      </c:catAx>
      <c:valAx>
        <c:axId val="58767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9"/>
          <c:w val="0.96725"/>
          <c:h val="0.9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'1 - CV of Random Variables'!$B$8:$B$108</c:f>
              <c:numCache/>
            </c:numRef>
          </c:val>
          <c:smooth val="0"/>
        </c:ser>
        <c:marker val="1"/>
        <c:axId val="59146497"/>
        <c:axId val="62556426"/>
      </c:lineChart>
      <c:catAx>
        <c:axId val="5914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6426"/>
        <c:crosses val="autoZero"/>
        <c:auto val="1"/>
        <c:lblOffset val="100"/>
        <c:tickLblSkip val="4"/>
        <c:noMultiLvlLbl val="0"/>
      </c:catAx>
      <c:valAx>
        <c:axId val="62556426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46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-0.0275"/>
          <c:w val="0.924"/>
          <c:h val="0.99425"/>
        </c:manualLayout>
      </c:layout>
      <c:lineChart>
        <c:grouping val="standard"/>
        <c:varyColors val="0"/>
        <c:ser>
          <c:idx val="1"/>
          <c:order val="0"/>
          <c:tx>
            <c:v>Price under self-sufficiency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Stabilization'!$H$10:$H$109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'Data - Stabilization'!$K$10:$K$109</c:f>
              <c:numCache>
                <c:ptCount val="100"/>
                <c:pt idx="0">
                  <c:v>330.0000000000008</c:v>
                </c:pt>
                <c:pt idx="1">
                  <c:v>331.08172496044335</c:v>
                </c:pt>
                <c:pt idx="2">
                  <c:v>267.1058283825667</c:v>
                </c:pt>
                <c:pt idx="3">
                  <c:v>251.18025407453374</c:v>
                </c:pt>
                <c:pt idx="4">
                  <c:v>341.3612254192599</c:v>
                </c:pt>
                <c:pt idx="5">
                  <c:v>395.46331774960856</c:v>
                </c:pt>
                <c:pt idx="6">
                  <c:v>325.59481149597883</c:v>
                </c:pt>
                <c:pt idx="7">
                  <c:v>393.9528260147256</c:v>
                </c:pt>
                <c:pt idx="8">
                  <c:v>355.8604560592194</c:v>
                </c:pt>
                <c:pt idx="9">
                  <c:v>430.9545488292527</c:v>
                </c:pt>
                <c:pt idx="10">
                  <c:v>341.11572738652285</c:v>
                </c:pt>
                <c:pt idx="11">
                  <c:v>535.5081096039513</c:v>
                </c:pt>
                <c:pt idx="12">
                  <c:v>356.46061696763866</c:v>
                </c:pt>
                <c:pt idx="13">
                  <c:v>296.73107982431765</c:v>
                </c:pt>
                <c:pt idx="14">
                  <c:v>302.0947830386224</c:v>
                </c:pt>
                <c:pt idx="15">
                  <c:v>333.51450127993553</c:v>
                </c:pt>
                <c:pt idx="16">
                  <c:v>596.3429374110951</c:v>
                </c:pt>
                <c:pt idx="17">
                  <c:v>301.2591432551681</c:v>
                </c:pt>
                <c:pt idx="18">
                  <c:v>325.99653288981324</c:v>
                </c:pt>
                <c:pt idx="19">
                  <c:v>423.46247078213054</c:v>
                </c:pt>
                <c:pt idx="20">
                  <c:v>263.77566906155243</c:v>
                </c:pt>
                <c:pt idx="21">
                  <c:v>660.0000000000017</c:v>
                </c:pt>
                <c:pt idx="22">
                  <c:v>249.73062443971057</c:v>
                </c:pt>
                <c:pt idx="23">
                  <c:v>261.02485000391533</c:v>
                </c:pt>
                <c:pt idx="24">
                  <c:v>314.944893870886</c:v>
                </c:pt>
                <c:pt idx="25">
                  <c:v>245.70002207198462</c:v>
                </c:pt>
                <c:pt idx="26">
                  <c:v>268.60264800673485</c:v>
                </c:pt>
                <c:pt idx="27">
                  <c:v>243.28236022215873</c:v>
                </c:pt>
                <c:pt idx="28">
                  <c:v>527.8970098373603</c:v>
                </c:pt>
                <c:pt idx="29">
                  <c:v>291.27302237812006</c:v>
                </c:pt>
                <c:pt idx="30">
                  <c:v>277.12678195061966</c:v>
                </c:pt>
                <c:pt idx="31">
                  <c:v>422.29055203307075</c:v>
                </c:pt>
                <c:pt idx="32">
                  <c:v>362.4645582417161</c:v>
                </c:pt>
                <c:pt idx="33">
                  <c:v>280.7015432076862</c:v>
                </c:pt>
                <c:pt idx="34">
                  <c:v>275.2534263505135</c:v>
                </c:pt>
                <c:pt idx="35">
                  <c:v>313.65154841624724</c:v>
                </c:pt>
                <c:pt idx="36">
                  <c:v>226.20546794856511</c:v>
                </c:pt>
                <c:pt idx="37">
                  <c:v>394.68747934748404</c:v>
                </c:pt>
                <c:pt idx="38">
                  <c:v>264.96162953667977</c:v>
                </c:pt>
                <c:pt idx="39">
                  <c:v>357.67946924081474</c:v>
                </c:pt>
                <c:pt idx="40">
                  <c:v>448.8881043195333</c:v>
                </c:pt>
                <c:pt idx="41">
                  <c:v>251.03798894530337</c:v>
                </c:pt>
                <c:pt idx="42">
                  <c:v>378.42268920579414</c:v>
                </c:pt>
                <c:pt idx="43">
                  <c:v>418.76933356641945</c:v>
                </c:pt>
                <c:pt idx="44">
                  <c:v>397.5215154622417</c:v>
                </c:pt>
                <c:pt idx="45">
                  <c:v>312.23448359216013</c:v>
                </c:pt>
                <c:pt idx="46">
                  <c:v>275.3140883946498</c:v>
                </c:pt>
                <c:pt idx="47">
                  <c:v>364.2225518644857</c:v>
                </c:pt>
                <c:pt idx="48">
                  <c:v>280.62999821993844</c:v>
                </c:pt>
                <c:pt idx="49">
                  <c:v>270.4997501798818</c:v>
                </c:pt>
                <c:pt idx="50">
                  <c:v>434.30213569035993</c:v>
                </c:pt>
                <c:pt idx="51">
                  <c:v>528.7135895531732</c:v>
                </c:pt>
                <c:pt idx="52">
                  <c:v>278.05691047874876</c:v>
                </c:pt>
                <c:pt idx="53">
                  <c:v>503.4786057027905</c:v>
                </c:pt>
                <c:pt idx="54">
                  <c:v>455.3375012674412</c:v>
                </c:pt>
                <c:pt idx="55">
                  <c:v>511.1130275814451</c:v>
                </c:pt>
                <c:pt idx="56">
                  <c:v>486.0366241207535</c:v>
                </c:pt>
                <c:pt idx="57">
                  <c:v>370.48632859462657</c:v>
                </c:pt>
                <c:pt idx="58">
                  <c:v>609.196273034401</c:v>
                </c:pt>
                <c:pt idx="59">
                  <c:v>400.1246347637038</c:v>
                </c:pt>
                <c:pt idx="60">
                  <c:v>381.40382960183416</c:v>
                </c:pt>
                <c:pt idx="61">
                  <c:v>312.61353205981794</c:v>
                </c:pt>
                <c:pt idx="62">
                  <c:v>307.243010123902</c:v>
                </c:pt>
                <c:pt idx="63">
                  <c:v>344.24265647506513</c:v>
                </c:pt>
                <c:pt idx="64">
                  <c:v>350.59265536474635</c:v>
                </c:pt>
                <c:pt idx="65">
                  <c:v>235.37666941339498</c:v>
                </c:pt>
                <c:pt idx="66">
                  <c:v>318.7796539264726</c:v>
                </c:pt>
                <c:pt idx="67">
                  <c:v>286.93678591912413</c:v>
                </c:pt>
                <c:pt idx="68">
                  <c:v>360.3424696378411</c:v>
                </c:pt>
                <c:pt idx="69">
                  <c:v>255.19203241281338</c:v>
                </c:pt>
                <c:pt idx="70">
                  <c:v>247.1606005737035</c:v>
                </c:pt>
                <c:pt idx="71">
                  <c:v>352.1081545026158</c:v>
                </c:pt>
                <c:pt idx="72">
                  <c:v>380.7226069679271</c:v>
                </c:pt>
                <c:pt idx="73">
                  <c:v>571.802066126727</c:v>
                </c:pt>
                <c:pt idx="74">
                  <c:v>394.07965222895893</c:v>
                </c:pt>
                <c:pt idx="75">
                  <c:v>451.5388978304948</c:v>
                </c:pt>
                <c:pt idx="76">
                  <c:v>373.85532377340513</c:v>
                </c:pt>
                <c:pt idx="77">
                  <c:v>311.1496143819402</c:v>
                </c:pt>
                <c:pt idx="78">
                  <c:v>365.3553999001211</c:v>
                </c:pt>
                <c:pt idx="79">
                  <c:v>387.13945708167734</c:v>
                </c:pt>
                <c:pt idx="80">
                  <c:v>255.3686453971245</c:v>
                </c:pt>
                <c:pt idx="81">
                  <c:v>378.2566754406582</c:v>
                </c:pt>
                <c:pt idx="82">
                  <c:v>312.86143381068285</c:v>
                </c:pt>
                <c:pt idx="83">
                  <c:v>362.19832498849223</c:v>
                </c:pt>
                <c:pt idx="84">
                  <c:v>242.77648343822815</c:v>
                </c:pt>
                <c:pt idx="85">
                  <c:v>278.66196821854896</c:v>
                </c:pt>
                <c:pt idx="86">
                  <c:v>387.0143027522674</c:v>
                </c:pt>
                <c:pt idx="87">
                  <c:v>235.6665051227237</c:v>
                </c:pt>
                <c:pt idx="88">
                  <c:v>418.60992848928754</c:v>
                </c:pt>
                <c:pt idx="89">
                  <c:v>277.5371773891143</c:v>
                </c:pt>
                <c:pt idx="90">
                  <c:v>300.80725701265385</c:v>
                </c:pt>
                <c:pt idx="91">
                  <c:v>361.43162531708754</c:v>
                </c:pt>
                <c:pt idx="92">
                  <c:v>248.17037201662697</c:v>
                </c:pt>
                <c:pt idx="93">
                  <c:v>429.01866198429445</c:v>
                </c:pt>
                <c:pt idx="94">
                  <c:v>559.4346577608088</c:v>
                </c:pt>
                <c:pt idx="95">
                  <c:v>398.41785942795957</c:v>
                </c:pt>
                <c:pt idx="96">
                  <c:v>473.34964450244524</c:v>
                </c:pt>
                <c:pt idx="97">
                  <c:v>426.1117813328651</c:v>
                </c:pt>
                <c:pt idx="98">
                  <c:v>482.1503276018146</c:v>
                </c:pt>
                <c:pt idx="99">
                  <c:v>253.03296497035882</c:v>
                </c:pt>
              </c:numCache>
            </c:numRef>
          </c:val>
          <c:smooth val="0"/>
        </c:ser>
        <c:ser>
          <c:idx val="2"/>
          <c:order val="1"/>
          <c:tx>
            <c:v>Price with trade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Stabilization'!$H$10:$H$109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'Data - Stabilization'!$P$10:$P$109</c:f>
              <c:numCache>
                <c:ptCount val="100"/>
                <c:pt idx="0">
                  <c:v>330.0000000000008</c:v>
                </c:pt>
                <c:pt idx="1">
                  <c:v>331.08172496044335</c:v>
                </c:pt>
                <c:pt idx="2">
                  <c:v>267.1058283825667</c:v>
                </c:pt>
                <c:pt idx="3">
                  <c:v>251.18025407453374</c:v>
                </c:pt>
                <c:pt idx="4">
                  <c:v>341.3612254192599</c:v>
                </c:pt>
                <c:pt idx="5">
                  <c:v>395.46331774960856</c:v>
                </c:pt>
                <c:pt idx="6">
                  <c:v>325.59481149597883</c:v>
                </c:pt>
                <c:pt idx="7">
                  <c:v>393.9528260147256</c:v>
                </c:pt>
                <c:pt idx="8">
                  <c:v>355.8604560592194</c:v>
                </c:pt>
                <c:pt idx="9">
                  <c:v>400</c:v>
                </c:pt>
                <c:pt idx="10">
                  <c:v>341.11572738652285</c:v>
                </c:pt>
                <c:pt idx="11">
                  <c:v>400</c:v>
                </c:pt>
                <c:pt idx="12">
                  <c:v>356.46061696763866</c:v>
                </c:pt>
                <c:pt idx="13">
                  <c:v>296.73107982431765</c:v>
                </c:pt>
                <c:pt idx="14">
                  <c:v>302.0947830386224</c:v>
                </c:pt>
                <c:pt idx="15">
                  <c:v>333.51450127993553</c:v>
                </c:pt>
                <c:pt idx="16">
                  <c:v>400</c:v>
                </c:pt>
                <c:pt idx="17">
                  <c:v>301.2591432551681</c:v>
                </c:pt>
                <c:pt idx="18">
                  <c:v>325.99653288981324</c:v>
                </c:pt>
                <c:pt idx="19">
                  <c:v>400</c:v>
                </c:pt>
                <c:pt idx="20">
                  <c:v>263.77566906155243</c:v>
                </c:pt>
                <c:pt idx="21">
                  <c:v>400</c:v>
                </c:pt>
                <c:pt idx="22">
                  <c:v>249.73062443971057</c:v>
                </c:pt>
                <c:pt idx="23">
                  <c:v>261.02485000391533</c:v>
                </c:pt>
                <c:pt idx="24">
                  <c:v>314.944893870886</c:v>
                </c:pt>
                <c:pt idx="25">
                  <c:v>245.70002207198462</c:v>
                </c:pt>
                <c:pt idx="26">
                  <c:v>268.60264800673485</c:v>
                </c:pt>
                <c:pt idx="27">
                  <c:v>243.28236022215873</c:v>
                </c:pt>
                <c:pt idx="28">
                  <c:v>400</c:v>
                </c:pt>
                <c:pt idx="29">
                  <c:v>291.27302237812006</c:v>
                </c:pt>
                <c:pt idx="30">
                  <c:v>277.12678195061966</c:v>
                </c:pt>
                <c:pt idx="31">
                  <c:v>400</c:v>
                </c:pt>
                <c:pt idx="32">
                  <c:v>362.4645582417161</c:v>
                </c:pt>
                <c:pt idx="33">
                  <c:v>280.7015432076862</c:v>
                </c:pt>
                <c:pt idx="34">
                  <c:v>275.2534263505135</c:v>
                </c:pt>
                <c:pt idx="35">
                  <c:v>313.65154841624724</c:v>
                </c:pt>
                <c:pt idx="36">
                  <c:v>226.20546794856511</c:v>
                </c:pt>
                <c:pt idx="37">
                  <c:v>394.68747934748404</c:v>
                </c:pt>
                <c:pt idx="38">
                  <c:v>264.96162953667977</c:v>
                </c:pt>
                <c:pt idx="39">
                  <c:v>357.67946924081474</c:v>
                </c:pt>
                <c:pt idx="40">
                  <c:v>400</c:v>
                </c:pt>
                <c:pt idx="41">
                  <c:v>251.03798894530337</c:v>
                </c:pt>
                <c:pt idx="42">
                  <c:v>378.42268920579414</c:v>
                </c:pt>
                <c:pt idx="43">
                  <c:v>400</c:v>
                </c:pt>
                <c:pt idx="44">
                  <c:v>397.5215154622417</c:v>
                </c:pt>
                <c:pt idx="45">
                  <c:v>312.23448359216013</c:v>
                </c:pt>
                <c:pt idx="46">
                  <c:v>275.3140883946498</c:v>
                </c:pt>
                <c:pt idx="47">
                  <c:v>364.2225518644857</c:v>
                </c:pt>
                <c:pt idx="48">
                  <c:v>280.62999821993844</c:v>
                </c:pt>
                <c:pt idx="49">
                  <c:v>270.4997501798818</c:v>
                </c:pt>
                <c:pt idx="50">
                  <c:v>400</c:v>
                </c:pt>
                <c:pt idx="51">
                  <c:v>400</c:v>
                </c:pt>
                <c:pt idx="52">
                  <c:v>278.05691047874876</c:v>
                </c:pt>
                <c:pt idx="53">
                  <c:v>400</c:v>
                </c:pt>
                <c:pt idx="54">
                  <c:v>400</c:v>
                </c:pt>
                <c:pt idx="55">
                  <c:v>400</c:v>
                </c:pt>
                <c:pt idx="56">
                  <c:v>400</c:v>
                </c:pt>
                <c:pt idx="57">
                  <c:v>370.48632859462657</c:v>
                </c:pt>
                <c:pt idx="58">
                  <c:v>400</c:v>
                </c:pt>
                <c:pt idx="59">
                  <c:v>400</c:v>
                </c:pt>
                <c:pt idx="60">
                  <c:v>381.40382960183416</c:v>
                </c:pt>
                <c:pt idx="61">
                  <c:v>312.61353205981794</c:v>
                </c:pt>
                <c:pt idx="62">
                  <c:v>307.243010123902</c:v>
                </c:pt>
                <c:pt idx="63">
                  <c:v>344.24265647506513</c:v>
                </c:pt>
                <c:pt idx="64">
                  <c:v>350.59265536474635</c:v>
                </c:pt>
                <c:pt idx="65">
                  <c:v>235.37666941339498</c:v>
                </c:pt>
                <c:pt idx="66">
                  <c:v>318.7796539264726</c:v>
                </c:pt>
                <c:pt idx="67">
                  <c:v>286.93678591912413</c:v>
                </c:pt>
                <c:pt idx="68">
                  <c:v>360.3424696378411</c:v>
                </c:pt>
                <c:pt idx="69">
                  <c:v>255.19203241281338</c:v>
                </c:pt>
                <c:pt idx="70">
                  <c:v>247.1606005737035</c:v>
                </c:pt>
                <c:pt idx="71">
                  <c:v>352.1081545026158</c:v>
                </c:pt>
                <c:pt idx="72">
                  <c:v>380.7226069679271</c:v>
                </c:pt>
                <c:pt idx="73">
                  <c:v>400</c:v>
                </c:pt>
                <c:pt idx="74">
                  <c:v>394.07965222895893</c:v>
                </c:pt>
                <c:pt idx="75">
                  <c:v>400</c:v>
                </c:pt>
                <c:pt idx="76">
                  <c:v>373.85532377340513</c:v>
                </c:pt>
                <c:pt idx="77">
                  <c:v>311.1496143819402</c:v>
                </c:pt>
                <c:pt idx="78">
                  <c:v>365.3553999001211</c:v>
                </c:pt>
                <c:pt idx="79">
                  <c:v>387.13945708167734</c:v>
                </c:pt>
                <c:pt idx="80">
                  <c:v>255.3686453971245</c:v>
                </c:pt>
                <c:pt idx="81">
                  <c:v>378.2566754406582</c:v>
                </c:pt>
                <c:pt idx="82">
                  <c:v>312.86143381068285</c:v>
                </c:pt>
                <c:pt idx="83">
                  <c:v>362.19832498849223</c:v>
                </c:pt>
                <c:pt idx="84">
                  <c:v>242.77648343822815</c:v>
                </c:pt>
                <c:pt idx="85">
                  <c:v>278.66196821854896</c:v>
                </c:pt>
                <c:pt idx="86">
                  <c:v>387.0143027522674</c:v>
                </c:pt>
                <c:pt idx="87">
                  <c:v>235.6665051227237</c:v>
                </c:pt>
                <c:pt idx="88">
                  <c:v>400</c:v>
                </c:pt>
                <c:pt idx="89">
                  <c:v>277.5371773891143</c:v>
                </c:pt>
                <c:pt idx="90">
                  <c:v>300.80725701265385</c:v>
                </c:pt>
                <c:pt idx="91">
                  <c:v>361.43162531708754</c:v>
                </c:pt>
                <c:pt idx="92">
                  <c:v>248.17037201662697</c:v>
                </c:pt>
                <c:pt idx="93">
                  <c:v>400</c:v>
                </c:pt>
                <c:pt idx="94">
                  <c:v>400</c:v>
                </c:pt>
                <c:pt idx="95">
                  <c:v>398.41785942795957</c:v>
                </c:pt>
                <c:pt idx="96">
                  <c:v>400</c:v>
                </c:pt>
                <c:pt idx="97">
                  <c:v>400</c:v>
                </c:pt>
                <c:pt idx="98">
                  <c:v>400</c:v>
                </c:pt>
                <c:pt idx="99">
                  <c:v>253.03296497035882</c:v>
                </c:pt>
              </c:numCache>
            </c:numRef>
          </c:val>
          <c:smooth val="0"/>
        </c:ser>
        <c:marker val="1"/>
        <c:axId val="26136923"/>
        <c:axId val="33905716"/>
      </c:lineChart>
      <c:catAx>
        <c:axId val="2613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05716"/>
        <c:crosses val="autoZero"/>
        <c:auto val="1"/>
        <c:lblOffset val="100"/>
        <c:tickLblSkip val="5"/>
        <c:noMultiLvlLbl val="0"/>
      </c:catAx>
      <c:valAx>
        <c:axId val="3390571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(US$/ton)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6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75"/>
          <c:y val="0.6645"/>
          <c:w val="0.33425"/>
          <c:h val="0.2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-0.0215"/>
          <c:w val="0.924"/>
          <c:h val="0.994"/>
        </c:manualLayout>
      </c:layout>
      <c:lineChart>
        <c:grouping val="standard"/>
        <c:varyColors val="0"/>
        <c:ser>
          <c:idx val="1"/>
          <c:order val="0"/>
          <c:tx>
            <c:v>Price without buffer stock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Stabilization'!$H$10:$H$109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'Data - Stabilization'!$K$10:$K$109</c:f>
              <c:numCache>
                <c:ptCount val="100"/>
                <c:pt idx="0">
                  <c:v>330.0000000000008</c:v>
                </c:pt>
                <c:pt idx="1">
                  <c:v>331.08172496044335</c:v>
                </c:pt>
                <c:pt idx="2">
                  <c:v>267.1058283825667</c:v>
                </c:pt>
                <c:pt idx="3">
                  <c:v>251.18025407453374</c:v>
                </c:pt>
                <c:pt idx="4">
                  <c:v>341.3612254192599</c:v>
                </c:pt>
                <c:pt idx="5">
                  <c:v>395.46331774960856</c:v>
                </c:pt>
                <c:pt idx="6">
                  <c:v>325.59481149597883</c:v>
                </c:pt>
                <c:pt idx="7">
                  <c:v>393.9528260147256</c:v>
                </c:pt>
                <c:pt idx="8">
                  <c:v>355.8604560592194</c:v>
                </c:pt>
                <c:pt idx="9">
                  <c:v>430.9545488292527</c:v>
                </c:pt>
                <c:pt idx="10">
                  <c:v>341.11572738652285</c:v>
                </c:pt>
                <c:pt idx="11">
                  <c:v>535.5081096039513</c:v>
                </c:pt>
                <c:pt idx="12">
                  <c:v>356.46061696763866</c:v>
                </c:pt>
                <c:pt idx="13">
                  <c:v>296.73107982431765</c:v>
                </c:pt>
                <c:pt idx="14">
                  <c:v>302.0947830386224</c:v>
                </c:pt>
                <c:pt idx="15">
                  <c:v>333.51450127993553</c:v>
                </c:pt>
                <c:pt idx="16">
                  <c:v>596.3429374110951</c:v>
                </c:pt>
                <c:pt idx="17">
                  <c:v>301.2591432551681</c:v>
                </c:pt>
                <c:pt idx="18">
                  <c:v>325.99653288981324</c:v>
                </c:pt>
                <c:pt idx="19">
                  <c:v>423.46247078213054</c:v>
                </c:pt>
                <c:pt idx="20">
                  <c:v>263.77566906155243</c:v>
                </c:pt>
                <c:pt idx="21">
                  <c:v>660.0000000000017</c:v>
                </c:pt>
                <c:pt idx="22">
                  <c:v>249.73062443971057</c:v>
                </c:pt>
                <c:pt idx="23">
                  <c:v>261.02485000391533</c:v>
                </c:pt>
                <c:pt idx="24">
                  <c:v>314.944893870886</c:v>
                </c:pt>
                <c:pt idx="25">
                  <c:v>245.70002207198462</c:v>
                </c:pt>
                <c:pt idx="26">
                  <c:v>268.60264800673485</c:v>
                </c:pt>
                <c:pt idx="27">
                  <c:v>243.28236022215873</c:v>
                </c:pt>
                <c:pt idx="28">
                  <c:v>527.8970098373603</c:v>
                </c:pt>
                <c:pt idx="29">
                  <c:v>291.27302237812006</c:v>
                </c:pt>
                <c:pt idx="30">
                  <c:v>277.12678195061966</c:v>
                </c:pt>
                <c:pt idx="31">
                  <c:v>422.29055203307075</c:v>
                </c:pt>
                <c:pt idx="32">
                  <c:v>362.4645582417161</c:v>
                </c:pt>
                <c:pt idx="33">
                  <c:v>280.7015432076862</c:v>
                </c:pt>
                <c:pt idx="34">
                  <c:v>275.2534263505135</c:v>
                </c:pt>
                <c:pt idx="35">
                  <c:v>313.65154841624724</c:v>
                </c:pt>
                <c:pt idx="36">
                  <c:v>226.20546794856511</c:v>
                </c:pt>
                <c:pt idx="37">
                  <c:v>394.68747934748404</c:v>
                </c:pt>
                <c:pt idx="38">
                  <c:v>264.96162953667977</c:v>
                </c:pt>
                <c:pt idx="39">
                  <c:v>357.67946924081474</c:v>
                </c:pt>
                <c:pt idx="40">
                  <c:v>448.8881043195333</c:v>
                </c:pt>
                <c:pt idx="41">
                  <c:v>251.03798894530337</c:v>
                </c:pt>
                <c:pt idx="42">
                  <c:v>378.42268920579414</c:v>
                </c:pt>
                <c:pt idx="43">
                  <c:v>418.76933356641945</c:v>
                </c:pt>
                <c:pt idx="44">
                  <c:v>397.5215154622417</c:v>
                </c:pt>
                <c:pt idx="45">
                  <c:v>312.23448359216013</c:v>
                </c:pt>
                <c:pt idx="46">
                  <c:v>275.3140883946498</c:v>
                </c:pt>
                <c:pt idx="47">
                  <c:v>364.2225518644857</c:v>
                </c:pt>
                <c:pt idx="48">
                  <c:v>280.62999821993844</c:v>
                </c:pt>
                <c:pt idx="49">
                  <c:v>270.4997501798818</c:v>
                </c:pt>
                <c:pt idx="50">
                  <c:v>434.30213569035993</c:v>
                </c:pt>
                <c:pt idx="51">
                  <c:v>528.7135895531732</c:v>
                </c:pt>
                <c:pt idx="52">
                  <c:v>278.05691047874876</c:v>
                </c:pt>
                <c:pt idx="53">
                  <c:v>503.4786057027905</c:v>
                </c:pt>
                <c:pt idx="54">
                  <c:v>455.3375012674412</c:v>
                </c:pt>
                <c:pt idx="55">
                  <c:v>511.1130275814451</c:v>
                </c:pt>
                <c:pt idx="56">
                  <c:v>486.0366241207535</c:v>
                </c:pt>
                <c:pt idx="57">
                  <c:v>370.48632859462657</c:v>
                </c:pt>
                <c:pt idx="58">
                  <c:v>609.196273034401</c:v>
                </c:pt>
                <c:pt idx="59">
                  <c:v>400.1246347637038</c:v>
                </c:pt>
                <c:pt idx="60">
                  <c:v>381.40382960183416</c:v>
                </c:pt>
                <c:pt idx="61">
                  <c:v>312.61353205981794</c:v>
                </c:pt>
                <c:pt idx="62">
                  <c:v>307.243010123902</c:v>
                </c:pt>
                <c:pt idx="63">
                  <c:v>344.24265647506513</c:v>
                </c:pt>
                <c:pt idx="64">
                  <c:v>350.59265536474635</c:v>
                </c:pt>
                <c:pt idx="65">
                  <c:v>235.37666941339498</c:v>
                </c:pt>
                <c:pt idx="66">
                  <c:v>318.7796539264726</c:v>
                </c:pt>
                <c:pt idx="67">
                  <c:v>286.93678591912413</c:v>
                </c:pt>
                <c:pt idx="68">
                  <c:v>360.3424696378411</c:v>
                </c:pt>
                <c:pt idx="69">
                  <c:v>255.19203241281338</c:v>
                </c:pt>
                <c:pt idx="70">
                  <c:v>247.1606005737035</c:v>
                </c:pt>
                <c:pt idx="71">
                  <c:v>352.1081545026158</c:v>
                </c:pt>
                <c:pt idx="72">
                  <c:v>380.7226069679271</c:v>
                </c:pt>
                <c:pt idx="73">
                  <c:v>571.802066126727</c:v>
                </c:pt>
                <c:pt idx="74">
                  <c:v>394.07965222895893</c:v>
                </c:pt>
                <c:pt idx="75">
                  <c:v>451.5388978304948</c:v>
                </c:pt>
                <c:pt idx="76">
                  <c:v>373.85532377340513</c:v>
                </c:pt>
                <c:pt idx="77">
                  <c:v>311.1496143819402</c:v>
                </c:pt>
                <c:pt idx="78">
                  <c:v>365.3553999001211</c:v>
                </c:pt>
                <c:pt idx="79">
                  <c:v>387.13945708167734</c:v>
                </c:pt>
                <c:pt idx="80">
                  <c:v>255.3686453971245</c:v>
                </c:pt>
                <c:pt idx="81">
                  <c:v>378.2566754406582</c:v>
                </c:pt>
                <c:pt idx="82">
                  <c:v>312.86143381068285</c:v>
                </c:pt>
                <c:pt idx="83">
                  <c:v>362.19832498849223</c:v>
                </c:pt>
                <c:pt idx="84">
                  <c:v>242.77648343822815</c:v>
                </c:pt>
                <c:pt idx="85">
                  <c:v>278.66196821854896</c:v>
                </c:pt>
                <c:pt idx="86">
                  <c:v>387.0143027522674</c:v>
                </c:pt>
                <c:pt idx="87">
                  <c:v>235.6665051227237</c:v>
                </c:pt>
                <c:pt idx="88">
                  <c:v>418.60992848928754</c:v>
                </c:pt>
                <c:pt idx="89">
                  <c:v>277.5371773891143</c:v>
                </c:pt>
                <c:pt idx="90">
                  <c:v>300.80725701265385</c:v>
                </c:pt>
                <c:pt idx="91">
                  <c:v>361.43162531708754</c:v>
                </c:pt>
                <c:pt idx="92">
                  <c:v>248.17037201662697</c:v>
                </c:pt>
                <c:pt idx="93">
                  <c:v>429.01866198429445</c:v>
                </c:pt>
                <c:pt idx="94">
                  <c:v>559.4346577608088</c:v>
                </c:pt>
                <c:pt idx="95">
                  <c:v>398.41785942795957</c:v>
                </c:pt>
                <c:pt idx="96">
                  <c:v>473.34964450244524</c:v>
                </c:pt>
                <c:pt idx="97">
                  <c:v>426.1117813328651</c:v>
                </c:pt>
                <c:pt idx="98">
                  <c:v>482.1503276018146</c:v>
                </c:pt>
                <c:pt idx="99">
                  <c:v>253.03296497035882</c:v>
                </c:pt>
              </c:numCache>
            </c:numRef>
          </c:val>
          <c:smooth val="0"/>
        </c:ser>
        <c:ser>
          <c:idx val="2"/>
          <c:order val="1"/>
          <c:tx>
            <c:v>Price with buffer stock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Stabilization'!$H$10:$H$109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'Data - Stabilization'!$W$10:$W$109</c:f>
              <c:numCache>
                <c:ptCount val="100"/>
                <c:pt idx="0">
                  <c:v>330.0000000000008</c:v>
                </c:pt>
                <c:pt idx="1">
                  <c:v>331.08172496044335</c:v>
                </c:pt>
                <c:pt idx="2">
                  <c:v>300</c:v>
                </c:pt>
                <c:pt idx="3">
                  <c:v>300</c:v>
                </c:pt>
                <c:pt idx="4">
                  <c:v>341.3612254192599</c:v>
                </c:pt>
                <c:pt idx="5">
                  <c:v>395.46331774960856</c:v>
                </c:pt>
                <c:pt idx="6">
                  <c:v>325.59481149597883</c:v>
                </c:pt>
                <c:pt idx="7">
                  <c:v>393.9528260147256</c:v>
                </c:pt>
                <c:pt idx="8">
                  <c:v>355.8604560592194</c:v>
                </c:pt>
                <c:pt idx="9">
                  <c:v>400</c:v>
                </c:pt>
                <c:pt idx="10">
                  <c:v>341.11572738652285</c:v>
                </c:pt>
                <c:pt idx="11">
                  <c:v>400</c:v>
                </c:pt>
                <c:pt idx="12">
                  <c:v>356.46061696763866</c:v>
                </c:pt>
                <c:pt idx="13">
                  <c:v>300</c:v>
                </c:pt>
                <c:pt idx="14">
                  <c:v>302.0947830386224</c:v>
                </c:pt>
                <c:pt idx="15">
                  <c:v>333.51450127993553</c:v>
                </c:pt>
                <c:pt idx="16">
                  <c:v>400</c:v>
                </c:pt>
                <c:pt idx="17">
                  <c:v>301.2591432551681</c:v>
                </c:pt>
                <c:pt idx="18">
                  <c:v>325.99653288981324</c:v>
                </c:pt>
                <c:pt idx="19">
                  <c:v>400</c:v>
                </c:pt>
                <c:pt idx="20">
                  <c:v>300</c:v>
                </c:pt>
                <c:pt idx="21">
                  <c:v>400</c:v>
                </c:pt>
                <c:pt idx="22">
                  <c:v>300</c:v>
                </c:pt>
                <c:pt idx="23">
                  <c:v>300</c:v>
                </c:pt>
                <c:pt idx="24">
                  <c:v>314.944893870886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400</c:v>
                </c:pt>
                <c:pt idx="29">
                  <c:v>300</c:v>
                </c:pt>
                <c:pt idx="30">
                  <c:v>300</c:v>
                </c:pt>
                <c:pt idx="31">
                  <c:v>400</c:v>
                </c:pt>
                <c:pt idx="32">
                  <c:v>362.4645582417161</c:v>
                </c:pt>
                <c:pt idx="33">
                  <c:v>300</c:v>
                </c:pt>
                <c:pt idx="34">
                  <c:v>300</c:v>
                </c:pt>
                <c:pt idx="35">
                  <c:v>313.65154841624724</c:v>
                </c:pt>
                <c:pt idx="36">
                  <c:v>300</c:v>
                </c:pt>
                <c:pt idx="37">
                  <c:v>394.68747934748404</c:v>
                </c:pt>
                <c:pt idx="38">
                  <c:v>300</c:v>
                </c:pt>
                <c:pt idx="39">
                  <c:v>357.67946924081474</c:v>
                </c:pt>
                <c:pt idx="40">
                  <c:v>400</c:v>
                </c:pt>
                <c:pt idx="41">
                  <c:v>300</c:v>
                </c:pt>
                <c:pt idx="42">
                  <c:v>378.42268920579414</c:v>
                </c:pt>
                <c:pt idx="43">
                  <c:v>400</c:v>
                </c:pt>
                <c:pt idx="44">
                  <c:v>397.5215154622417</c:v>
                </c:pt>
                <c:pt idx="45">
                  <c:v>312.23448359216013</c:v>
                </c:pt>
                <c:pt idx="46">
                  <c:v>300</c:v>
                </c:pt>
                <c:pt idx="47">
                  <c:v>364.2225518644857</c:v>
                </c:pt>
                <c:pt idx="48">
                  <c:v>300</c:v>
                </c:pt>
                <c:pt idx="49">
                  <c:v>300</c:v>
                </c:pt>
                <c:pt idx="50">
                  <c:v>400</c:v>
                </c:pt>
                <c:pt idx="51">
                  <c:v>400</c:v>
                </c:pt>
                <c:pt idx="52">
                  <c:v>300</c:v>
                </c:pt>
                <c:pt idx="53">
                  <c:v>400</c:v>
                </c:pt>
                <c:pt idx="54">
                  <c:v>400</c:v>
                </c:pt>
                <c:pt idx="55">
                  <c:v>400</c:v>
                </c:pt>
                <c:pt idx="56">
                  <c:v>400</c:v>
                </c:pt>
                <c:pt idx="57">
                  <c:v>370.48632859462657</c:v>
                </c:pt>
                <c:pt idx="58">
                  <c:v>400</c:v>
                </c:pt>
                <c:pt idx="59">
                  <c:v>400</c:v>
                </c:pt>
                <c:pt idx="60">
                  <c:v>381.40382960183416</c:v>
                </c:pt>
                <c:pt idx="61">
                  <c:v>312.61353205981794</c:v>
                </c:pt>
                <c:pt idx="62">
                  <c:v>307.243010123902</c:v>
                </c:pt>
                <c:pt idx="63">
                  <c:v>344.24265647506513</c:v>
                </c:pt>
                <c:pt idx="64">
                  <c:v>350.59265536474635</c:v>
                </c:pt>
                <c:pt idx="65">
                  <c:v>300</c:v>
                </c:pt>
                <c:pt idx="66">
                  <c:v>318.7796539264726</c:v>
                </c:pt>
                <c:pt idx="67">
                  <c:v>300</c:v>
                </c:pt>
                <c:pt idx="68">
                  <c:v>360.3424696378411</c:v>
                </c:pt>
                <c:pt idx="69">
                  <c:v>300</c:v>
                </c:pt>
                <c:pt idx="70">
                  <c:v>300</c:v>
                </c:pt>
                <c:pt idx="71">
                  <c:v>352.1081545026158</c:v>
                </c:pt>
                <c:pt idx="72">
                  <c:v>380.7226069679271</c:v>
                </c:pt>
                <c:pt idx="73">
                  <c:v>400</c:v>
                </c:pt>
                <c:pt idx="74">
                  <c:v>394.07965222895893</c:v>
                </c:pt>
                <c:pt idx="75">
                  <c:v>400</c:v>
                </c:pt>
                <c:pt idx="76">
                  <c:v>373.85532377340513</c:v>
                </c:pt>
                <c:pt idx="77">
                  <c:v>311.1496143819402</c:v>
                </c:pt>
                <c:pt idx="78">
                  <c:v>365.3553999001211</c:v>
                </c:pt>
                <c:pt idx="79">
                  <c:v>387.13945708167734</c:v>
                </c:pt>
                <c:pt idx="80">
                  <c:v>300</c:v>
                </c:pt>
                <c:pt idx="81">
                  <c:v>378.2566754406582</c:v>
                </c:pt>
                <c:pt idx="82">
                  <c:v>312.86143381068285</c:v>
                </c:pt>
                <c:pt idx="83">
                  <c:v>362.19832498849223</c:v>
                </c:pt>
                <c:pt idx="84">
                  <c:v>300</c:v>
                </c:pt>
                <c:pt idx="85">
                  <c:v>300</c:v>
                </c:pt>
                <c:pt idx="86">
                  <c:v>387.0143027522674</c:v>
                </c:pt>
                <c:pt idx="87">
                  <c:v>300</c:v>
                </c:pt>
                <c:pt idx="88">
                  <c:v>400</c:v>
                </c:pt>
                <c:pt idx="89">
                  <c:v>300</c:v>
                </c:pt>
                <c:pt idx="90">
                  <c:v>300.80725701265385</c:v>
                </c:pt>
                <c:pt idx="91">
                  <c:v>361.43162531708754</c:v>
                </c:pt>
                <c:pt idx="92">
                  <c:v>300</c:v>
                </c:pt>
                <c:pt idx="93">
                  <c:v>400</c:v>
                </c:pt>
                <c:pt idx="94">
                  <c:v>400</c:v>
                </c:pt>
                <c:pt idx="95">
                  <c:v>398.41785942795957</c:v>
                </c:pt>
                <c:pt idx="96">
                  <c:v>400</c:v>
                </c:pt>
                <c:pt idx="97">
                  <c:v>400</c:v>
                </c:pt>
                <c:pt idx="98">
                  <c:v>400</c:v>
                </c:pt>
                <c:pt idx="99">
                  <c:v>300</c:v>
                </c:pt>
              </c:numCache>
            </c:numRef>
          </c:val>
          <c:smooth val="0"/>
        </c:ser>
        <c:marker val="1"/>
        <c:axId val="36715989"/>
        <c:axId val="62008446"/>
      </c:lineChart>
      <c:catAx>
        <c:axId val="36715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08446"/>
        <c:crosses val="autoZero"/>
        <c:auto val="1"/>
        <c:lblOffset val="100"/>
        <c:tickLblSkip val="5"/>
        <c:noMultiLvlLbl val="0"/>
      </c:catAx>
      <c:valAx>
        <c:axId val="6200844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(US$/ton)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15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25"/>
          <c:y val="0.6895"/>
          <c:w val="0.27175"/>
          <c:h val="0.1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7</xdr:row>
      <xdr:rowOff>66675</xdr:rowOff>
    </xdr:from>
    <xdr:to>
      <xdr:col>14</xdr:col>
      <xdr:colOff>85725</xdr:colOff>
      <xdr:row>24</xdr:row>
      <xdr:rowOff>57150</xdr:rowOff>
    </xdr:to>
    <xdr:graphicFrame>
      <xdr:nvGraphicFramePr>
        <xdr:cNvPr id="1" name="Chart 4"/>
        <xdr:cNvGraphicFramePr/>
      </xdr:nvGraphicFramePr>
      <xdr:xfrm>
        <a:off x="4276725" y="1200150"/>
        <a:ext cx="4724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7</xdr:row>
      <xdr:rowOff>142875</xdr:rowOff>
    </xdr:from>
    <xdr:to>
      <xdr:col>10</xdr:col>
      <xdr:colOff>485775</xdr:colOff>
      <xdr:row>22</xdr:row>
      <xdr:rowOff>38100</xdr:rowOff>
    </xdr:to>
    <xdr:graphicFrame>
      <xdr:nvGraphicFramePr>
        <xdr:cNvPr id="1" name="Chart 3"/>
        <xdr:cNvGraphicFramePr/>
      </xdr:nvGraphicFramePr>
      <xdr:xfrm>
        <a:off x="2447925" y="1476375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</xdr:row>
      <xdr:rowOff>247650</xdr:rowOff>
    </xdr:from>
    <xdr:to>
      <xdr:col>17</xdr:col>
      <xdr:colOff>247650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4838700" y="533400"/>
        <a:ext cx="64293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24</xdr:row>
      <xdr:rowOff>104775</xdr:rowOff>
    </xdr:from>
    <xdr:to>
      <xdr:col>17</xdr:col>
      <xdr:colOff>304800</xdr:colOff>
      <xdr:row>46</xdr:row>
      <xdr:rowOff>123825</xdr:rowOff>
    </xdr:to>
    <xdr:graphicFrame>
      <xdr:nvGraphicFramePr>
        <xdr:cNvPr id="2" name="Chart 2"/>
        <xdr:cNvGraphicFramePr/>
      </xdr:nvGraphicFramePr>
      <xdr:xfrm>
        <a:off x="4829175" y="4219575"/>
        <a:ext cx="64960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41"/>
  <sheetViews>
    <sheetView tabSelected="1" zoomScalePageLayoutView="0" workbookViewId="0" topLeftCell="A1">
      <selection activeCell="W1" sqref="W1"/>
    </sheetView>
  </sheetViews>
  <sheetFormatPr defaultColWidth="4.28125" defaultRowHeight="12.75"/>
  <cols>
    <col min="1" max="22" width="4.28125" style="0" customWidth="1"/>
    <col min="23" max="23" width="4.28125" style="157" customWidth="1"/>
  </cols>
  <sheetData>
    <row r="1" spans="1:2" ht="12.75">
      <c r="A1" s="144" t="s">
        <v>122</v>
      </c>
      <c r="B1" s="144"/>
    </row>
    <row r="2" spans="1:2" ht="12.75">
      <c r="A2" s="144"/>
      <c r="B2" s="144" t="s">
        <v>159</v>
      </c>
    </row>
    <row r="3" s="145" customFormat="1" ht="12.75">
      <c r="W3" s="158"/>
    </row>
    <row r="4" spans="1:25" s="145" customFormat="1" ht="12.75">
      <c r="A4" s="146" t="s">
        <v>146</v>
      </c>
      <c r="W4" s="151" t="s">
        <v>152</v>
      </c>
      <c r="X4" s="152"/>
      <c r="Y4"/>
    </row>
    <row r="5" spans="1:25" s="145" customFormat="1" ht="12.75">
      <c r="A5" s="147"/>
      <c r="B5" s="29" t="s">
        <v>123</v>
      </c>
      <c r="W5" s="153"/>
      <c r="X5" s="152" t="s">
        <v>153</v>
      </c>
      <c r="Y5"/>
    </row>
    <row r="6" spans="3:25" s="145" customFormat="1" ht="12.75">
      <c r="C6" s="145" t="s">
        <v>125</v>
      </c>
      <c r="W6" s="154"/>
      <c r="X6" s="152" t="s">
        <v>154</v>
      </c>
      <c r="Y6"/>
    </row>
    <row r="7" spans="3:25" s="145" customFormat="1" ht="12.75">
      <c r="C7" s="145" t="s">
        <v>124</v>
      </c>
      <c r="W7" s="154"/>
      <c r="X7" s="152" t="s">
        <v>155</v>
      </c>
      <c r="Y7"/>
    </row>
    <row r="8" spans="23:25" s="145" customFormat="1" ht="12.75">
      <c r="W8" s="154"/>
      <c r="X8" s="144"/>
      <c r="Y8"/>
    </row>
    <row r="9" spans="1:25" s="145" customFormat="1" ht="12.75">
      <c r="A9" s="147"/>
      <c r="B9" s="29" t="s">
        <v>148</v>
      </c>
      <c r="W9" s="155"/>
      <c r="X9" s="156" t="s">
        <v>156</v>
      </c>
      <c r="Y9"/>
    </row>
    <row r="10" spans="3:25" s="145" customFormat="1" ht="12.75">
      <c r="C10" s="10" t="s">
        <v>149</v>
      </c>
      <c r="W10" s="154"/>
      <c r="X10" s="156" t="s">
        <v>157</v>
      </c>
      <c r="Y10"/>
    </row>
    <row r="11" spans="3:25" s="145" customFormat="1" ht="12.75">
      <c r="C11" s="10" t="s">
        <v>150</v>
      </c>
      <c r="W11" s="154"/>
      <c r="X11" s="156" t="s">
        <v>158</v>
      </c>
      <c r="Y11"/>
    </row>
    <row r="12" spans="3:23" s="145" customFormat="1" ht="12.75">
      <c r="C12" s="10" t="s">
        <v>151</v>
      </c>
      <c r="W12" s="158"/>
    </row>
    <row r="13" s="145" customFormat="1" ht="12.75">
      <c r="W13" s="158"/>
    </row>
    <row r="14" spans="1:23" s="145" customFormat="1" ht="12.75">
      <c r="A14" s="148"/>
      <c r="B14" s="146" t="s">
        <v>147</v>
      </c>
      <c r="W14" s="158"/>
    </row>
    <row r="15" spans="3:23" s="145" customFormat="1" ht="12.75">
      <c r="C15" s="10" t="s">
        <v>127</v>
      </c>
      <c r="W15" s="158"/>
    </row>
    <row r="16" spans="3:23" s="145" customFormat="1" ht="12.75">
      <c r="C16" s="10" t="s">
        <v>126</v>
      </c>
      <c r="W16" s="158"/>
    </row>
    <row r="17" spans="4:23" s="145" customFormat="1" ht="12.75">
      <c r="D17" s="10" t="s">
        <v>129</v>
      </c>
      <c r="W17" s="158"/>
    </row>
    <row r="18" spans="5:23" s="145" customFormat="1" ht="12.75">
      <c r="E18" s="10" t="s">
        <v>128</v>
      </c>
      <c r="W18" s="158"/>
    </row>
    <row r="19" spans="4:23" s="145" customFormat="1" ht="12.75">
      <c r="D19" s="10" t="s">
        <v>130</v>
      </c>
      <c r="W19" s="158"/>
    </row>
    <row r="20" s="145" customFormat="1" ht="12.75">
      <c r="W20" s="158"/>
    </row>
    <row r="21" spans="1:23" s="145" customFormat="1" ht="12.75">
      <c r="A21" s="148"/>
      <c r="B21" s="146" t="s">
        <v>141</v>
      </c>
      <c r="W21" s="158"/>
    </row>
    <row r="22" spans="2:23" s="145" customFormat="1" ht="12.75">
      <c r="B22" s="10" t="s">
        <v>131</v>
      </c>
      <c r="C22" s="10"/>
      <c r="W22" s="158"/>
    </row>
    <row r="23" spans="3:23" s="145" customFormat="1" ht="12.75">
      <c r="C23" s="10" t="s">
        <v>132</v>
      </c>
      <c r="W23" s="158"/>
    </row>
    <row r="24" spans="3:23" s="145" customFormat="1" ht="12.75">
      <c r="C24" s="10" t="s">
        <v>133</v>
      </c>
      <c r="W24" s="158"/>
    </row>
    <row r="25" spans="2:23" s="145" customFormat="1" ht="12.75">
      <c r="B25" s="10" t="s">
        <v>134</v>
      </c>
      <c r="W25" s="158"/>
    </row>
    <row r="26" spans="3:23" s="145" customFormat="1" ht="12.75">
      <c r="C26" s="10" t="s">
        <v>136</v>
      </c>
      <c r="W26" s="158"/>
    </row>
    <row r="27" spans="3:23" s="145" customFormat="1" ht="12.75">
      <c r="C27" s="10" t="s">
        <v>135</v>
      </c>
      <c r="W27" s="158"/>
    </row>
    <row r="28" spans="2:23" s="145" customFormat="1" ht="12.75">
      <c r="B28" s="10" t="s">
        <v>137</v>
      </c>
      <c r="W28" s="158"/>
    </row>
    <row r="29" spans="3:23" s="145" customFormat="1" ht="12.75">
      <c r="C29" s="145" t="s">
        <v>138</v>
      </c>
      <c r="W29" s="158"/>
    </row>
    <row r="30" spans="1:23" s="145" customFormat="1" ht="12.75">
      <c r="A30"/>
      <c r="B30" s="10" t="s">
        <v>139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W30" s="158"/>
    </row>
    <row r="31" spans="1:23" s="145" customFormat="1" ht="12.75">
      <c r="A31"/>
      <c r="B31"/>
      <c r="C31" s="10" t="s">
        <v>140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W31" s="158"/>
    </row>
    <row r="32" spans="1:23" s="14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W32" s="158"/>
    </row>
    <row r="33" spans="4:23" s="145" customFormat="1" ht="12.75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W33" s="158"/>
    </row>
    <row r="34" spans="4:23" s="145" customFormat="1" ht="12.75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W34" s="158"/>
    </row>
    <row r="35" spans="4:23" s="145" customFormat="1" ht="12.7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W35" s="158"/>
    </row>
    <row r="36" spans="4:23" s="145" customFormat="1" ht="12.75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W36" s="158"/>
    </row>
    <row r="37" spans="4:23" s="145" customFormat="1" ht="12.75"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W37" s="158"/>
    </row>
    <row r="38" spans="4:23" s="145" customFormat="1" ht="12.75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W38" s="158"/>
    </row>
    <row r="39" spans="4:23" s="145" customFormat="1" ht="12.75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W39" s="158"/>
    </row>
    <row r="40" spans="4:23" s="145" customFormat="1" ht="12.75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W40" s="158"/>
    </row>
    <row r="41" spans="1:23" s="14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W41" s="15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O162"/>
  <sheetViews>
    <sheetView zoomScale="90" zoomScaleNormal="90" zoomScalePageLayoutView="0" workbookViewId="0" topLeftCell="A1">
      <selection activeCell="X4" sqref="X4"/>
    </sheetView>
  </sheetViews>
  <sheetFormatPr defaultColWidth="9.140625" defaultRowHeight="12.75"/>
  <cols>
    <col min="1" max="1" width="9.140625" style="4" customWidth="1"/>
    <col min="2" max="2" width="14.8515625" style="4" customWidth="1"/>
    <col min="3" max="3" width="13.00390625" style="4" customWidth="1"/>
    <col min="4" max="4" width="11.421875" style="4" customWidth="1"/>
    <col min="5" max="5" width="10.8515625" style="4" customWidth="1"/>
    <col min="6" max="6" width="12.421875" style="4" customWidth="1"/>
    <col min="7" max="7" width="9.57421875" style="4" bestFit="1" customWidth="1"/>
    <col min="8" max="8" width="8.00390625" style="4" customWidth="1"/>
    <col min="9" max="9" width="9.140625" style="4" customWidth="1"/>
    <col min="10" max="10" width="2.28125" style="4" customWidth="1"/>
    <col min="11" max="11" width="9.140625" style="4" customWidth="1"/>
    <col min="12" max="12" width="11.00390625" style="4" customWidth="1"/>
    <col min="13" max="13" width="12.28125" style="4" customWidth="1"/>
    <col min="14" max="14" width="11.00390625" style="4" customWidth="1"/>
    <col min="15" max="15" width="2.8515625" style="4" customWidth="1"/>
    <col min="16" max="16" width="9.140625" style="4" customWidth="1"/>
    <col min="17" max="17" width="12.00390625" style="4" customWidth="1"/>
    <col min="18" max="18" width="12.140625" style="4" customWidth="1"/>
    <col min="19" max="19" width="10.140625" style="4" customWidth="1"/>
    <col min="20" max="20" width="9.140625" style="4" customWidth="1"/>
    <col min="21" max="21" width="9.8515625" style="4" bestFit="1" customWidth="1"/>
    <col min="22" max="22" width="3.28125" style="4" customWidth="1"/>
    <col min="23" max="23" width="8.00390625" style="4" customWidth="1"/>
    <col min="24" max="24" width="13.00390625" style="4" customWidth="1"/>
    <col min="25" max="25" width="12.140625" style="4" customWidth="1"/>
    <col min="26" max="26" width="11.421875" style="4" customWidth="1"/>
    <col min="27" max="27" width="8.8515625" style="66" customWidth="1"/>
    <col min="28" max="28" width="10.421875" style="4" customWidth="1"/>
    <col min="29" max="29" width="8.8515625" style="4" customWidth="1"/>
    <col min="30" max="30" width="9.28125" style="4" customWidth="1"/>
    <col min="31" max="31" width="8.421875" style="4" customWidth="1"/>
    <col min="32" max="32" width="7.57421875" style="4" customWidth="1"/>
    <col min="33" max="33" width="8.57421875" style="4" customWidth="1"/>
    <col min="34" max="34" width="10.57421875" style="4" customWidth="1"/>
    <col min="35" max="35" width="11.421875" style="4" customWidth="1"/>
    <col min="36" max="40" width="9.140625" style="4" customWidth="1"/>
    <col min="41" max="41" width="10.28125" style="4" customWidth="1"/>
    <col min="42" max="16384" width="9.140625" style="4" customWidth="1"/>
  </cols>
  <sheetData>
    <row r="1" spans="1:2" ht="22.5" customHeight="1">
      <c r="A1" s="9"/>
      <c r="B1" s="142" t="s">
        <v>20</v>
      </c>
    </row>
    <row r="2" spans="2:30" ht="22.5" customHeight="1" thickBot="1">
      <c r="B2" s="143" t="s">
        <v>102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28"/>
      <c r="X2" s="28"/>
      <c r="Y2" s="28"/>
      <c r="Z2" s="28"/>
      <c r="AA2" s="68"/>
      <c r="AB2" s="10"/>
      <c r="AC2" s="10"/>
      <c r="AD2" s="10"/>
    </row>
    <row r="3" spans="2:30" ht="21" customHeight="1" thickTop="1">
      <c r="B3" s="12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68"/>
      <c r="AB3" s="69"/>
      <c r="AC3" s="10"/>
      <c r="AD3" s="10"/>
    </row>
    <row r="4" spans="2:30" ht="12.75">
      <c r="B4" s="28"/>
      <c r="C4" s="28"/>
      <c r="D4" s="70"/>
      <c r="E4" s="28"/>
      <c r="F4" s="28"/>
      <c r="G4" s="10"/>
      <c r="H4" s="10"/>
      <c r="I4" s="10"/>
      <c r="J4" s="28"/>
      <c r="K4" s="10"/>
      <c r="L4" s="10"/>
      <c r="M4" s="10"/>
      <c r="N4" s="10"/>
      <c r="O4" s="28"/>
      <c r="P4" s="10"/>
      <c r="Q4" s="31"/>
      <c r="R4" s="10"/>
      <c r="S4" s="10"/>
      <c r="T4" s="10"/>
      <c r="U4" s="10"/>
      <c r="V4" s="28"/>
      <c r="W4" s="10"/>
      <c r="X4" s="10"/>
      <c r="Y4" s="10"/>
      <c r="Z4" s="10"/>
      <c r="AA4" s="71"/>
      <c r="AB4" s="10"/>
      <c r="AC4" s="10"/>
      <c r="AD4" s="10"/>
    </row>
    <row r="5" spans="2:41" ht="12.75">
      <c r="B5" s="72" t="s">
        <v>14</v>
      </c>
      <c r="C5" s="73"/>
      <c r="D5" s="74"/>
      <c r="E5" s="75"/>
      <c r="F5" s="28"/>
      <c r="G5" s="10"/>
      <c r="H5" s="72"/>
      <c r="I5" s="76"/>
      <c r="J5" s="19"/>
      <c r="K5" s="77"/>
      <c r="L5" s="78" t="s">
        <v>37</v>
      </c>
      <c r="M5" s="79"/>
      <c r="N5" s="80"/>
      <c r="O5" s="28"/>
      <c r="P5" s="81"/>
      <c r="Q5" s="82"/>
      <c r="R5" s="83" t="s">
        <v>38</v>
      </c>
      <c r="S5" s="83"/>
      <c r="T5" s="84"/>
      <c r="U5" s="85"/>
      <c r="V5" s="28"/>
      <c r="W5" s="72"/>
      <c r="X5" s="73"/>
      <c r="Y5" s="82"/>
      <c r="Z5" s="82"/>
      <c r="AA5" s="21"/>
      <c r="AB5" s="21" t="s">
        <v>48</v>
      </c>
      <c r="AC5" s="73"/>
      <c r="AD5" s="73"/>
      <c r="AE5" s="82"/>
      <c r="AF5" s="82"/>
      <c r="AG5" s="82"/>
      <c r="AH5" s="82"/>
      <c r="AI5" s="86"/>
      <c r="AK5" s="36"/>
      <c r="AL5" s="36" t="s">
        <v>82</v>
      </c>
      <c r="AM5" s="36"/>
      <c r="AN5" s="36"/>
      <c r="AO5" s="36"/>
    </row>
    <row r="6" spans="2:41" ht="12.75">
      <c r="B6" s="17"/>
      <c r="C6" s="28"/>
      <c r="D6" s="70"/>
      <c r="E6" s="14"/>
      <c r="F6" s="28"/>
      <c r="G6" s="10"/>
      <c r="H6" s="17"/>
      <c r="I6" s="87" t="s">
        <v>22</v>
      </c>
      <c r="J6" s="19"/>
      <c r="K6" s="81"/>
      <c r="L6" s="83"/>
      <c r="M6" s="84"/>
      <c r="N6" s="85" t="s">
        <v>65</v>
      </c>
      <c r="O6" s="28"/>
      <c r="P6" s="81"/>
      <c r="Q6" s="82"/>
      <c r="R6" s="83"/>
      <c r="S6" s="83" t="s">
        <v>65</v>
      </c>
      <c r="T6" s="84"/>
      <c r="U6" s="85" t="s">
        <v>50</v>
      </c>
      <c r="V6" s="28"/>
      <c r="W6" s="72"/>
      <c r="X6" s="73"/>
      <c r="Y6" s="82"/>
      <c r="Z6" s="83" t="s">
        <v>65</v>
      </c>
      <c r="AA6" s="21" t="s">
        <v>52</v>
      </c>
      <c r="AB6" s="21" t="s">
        <v>54</v>
      </c>
      <c r="AC6" s="84" t="s">
        <v>55</v>
      </c>
      <c r="AD6" s="84" t="s">
        <v>69</v>
      </c>
      <c r="AE6" s="88" t="s">
        <v>57</v>
      </c>
      <c r="AF6" s="88" t="s">
        <v>68</v>
      </c>
      <c r="AG6" s="88" t="s">
        <v>59</v>
      </c>
      <c r="AH6" s="82" t="s">
        <v>54</v>
      </c>
      <c r="AI6" s="32" t="s">
        <v>73</v>
      </c>
      <c r="AK6" s="34" t="s">
        <v>79</v>
      </c>
      <c r="AL6" s="4" t="s">
        <v>80</v>
      </c>
      <c r="AM6" s="35" t="s">
        <v>95</v>
      </c>
      <c r="AN6" s="34" t="s">
        <v>93</v>
      </c>
      <c r="AO6" s="34" t="s">
        <v>94</v>
      </c>
    </row>
    <row r="7" spans="2:39" ht="12.75">
      <c r="B7" s="17"/>
      <c r="C7" s="28"/>
      <c r="D7" s="70"/>
      <c r="E7" s="14"/>
      <c r="F7" s="28"/>
      <c r="G7" s="10"/>
      <c r="H7" s="13" t="s">
        <v>21</v>
      </c>
      <c r="I7" s="89" t="s">
        <v>23</v>
      </c>
      <c r="J7" s="19"/>
      <c r="K7" s="90" t="s">
        <v>39</v>
      </c>
      <c r="L7" s="18" t="s">
        <v>40</v>
      </c>
      <c r="M7" s="18" t="s">
        <v>6</v>
      </c>
      <c r="N7" s="89" t="s">
        <v>51</v>
      </c>
      <c r="O7" s="28"/>
      <c r="P7" s="90" t="s">
        <v>39</v>
      </c>
      <c r="Q7" s="18" t="s">
        <v>40</v>
      </c>
      <c r="R7" s="18" t="s">
        <v>6</v>
      </c>
      <c r="S7" s="18" t="s">
        <v>51</v>
      </c>
      <c r="T7" s="18" t="s">
        <v>7</v>
      </c>
      <c r="U7" s="89" t="s">
        <v>51</v>
      </c>
      <c r="V7" s="28"/>
      <c r="W7" s="90" t="s">
        <v>39</v>
      </c>
      <c r="X7" s="18" t="s">
        <v>40</v>
      </c>
      <c r="Y7" s="18" t="s">
        <v>6</v>
      </c>
      <c r="Z7" s="18" t="s">
        <v>51</v>
      </c>
      <c r="AA7" s="91" t="s">
        <v>53</v>
      </c>
      <c r="AB7" s="18" t="s">
        <v>53</v>
      </c>
      <c r="AC7" s="20" t="s">
        <v>56</v>
      </c>
      <c r="AD7" s="20" t="s">
        <v>58</v>
      </c>
      <c r="AE7" s="20" t="s">
        <v>56</v>
      </c>
      <c r="AF7" s="20" t="s">
        <v>58</v>
      </c>
      <c r="AG7" s="20" t="s">
        <v>56</v>
      </c>
      <c r="AH7" s="20" t="s">
        <v>58</v>
      </c>
      <c r="AI7" s="33" t="s">
        <v>74</v>
      </c>
      <c r="AK7" s="34"/>
      <c r="AL7" s="34" t="s">
        <v>83</v>
      </c>
      <c r="AM7" s="34" t="s">
        <v>84</v>
      </c>
    </row>
    <row r="8" spans="2:35" ht="12.75">
      <c r="B8" s="13" t="s">
        <v>11</v>
      </c>
      <c r="C8" s="31"/>
      <c r="D8" s="70"/>
      <c r="E8" s="14"/>
      <c r="F8" s="28"/>
      <c r="G8" s="10"/>
      <c r="H8" s="92"/>
      <c r="I8" s="87"/>
      <c r="J8" s="19"/>
      <c r="K8" s="81" t="s">
        <v>16</v>
      </c>
      <c r="L8" s="84" t="s">
        <v>41</v>
      </c>
      <c r="M8" s="84" t="s">
        <v>41</v>
      </c>
      <c r="N8" s="85" t="s">
        <v>42</v>
      </c>
      <c r="O8" s="28"/>
      <c r="P8" s="92" t="s">
        <v>16</v>
      </c>
      <c r="Q8" s="19" t="s">
        <v>41</v>
      </c>
      <c r="R8" s="19" t="s">
        <v>41</v>
      </c>
      <c r="S8" s="19"/>
      <c r="T8" s="19" t="s">
        <v>41</v>
      </c>
      <c r="U8" s="87" t="s">
        <v>42</v>
      </c>
      <c r="V8" s="19"/>
      <c r="W8" s="92" t="s">
        <v>16</v>
      </c>
      <c r="X8" s="19" t="s">
        <v>41</v>
      </c>
      <c r="Y8" s="19" t="s">
        <v>41</v>
      </c>
      <c r="Z8" s="19"/>
      <c r="AA8" s="93" t="s">
        <v>41</v>
      </c>
      <c r="AB8" s="19" t="s">
        <v>41</v>
      </c>
      <c r="AC8" s="19" t="s">
        <v>44</v>
      </c>
      <c r="AD8" s="19" t="s">
        <v>44</v>
      </c>
      <c r="AE8" s="19" t="s">
        <v>44</v>
      </c>
      <c r="AF8" s="19" t="s">
        <v>44</v>
      </c>
      <c r="AG8" s="19" t="s">
        <v>44</v>
      </c>
      <c r="AH8" s="19" t="s">
        <v>44</v>
      </c>
      <c r="AI8" s="94"/>
    </row>
    <row r="9" spans="2:35" ht="12.75">
      <c r="B9" s="17" t="s">
        <v>10</v>
      </c>
      <c r="C9" s="28"/>
      <c r="D9" s="70"/>
      <c r="E9" s="14"/>
      <c r="F9" s="28"/>
      <c r="G9" s="10"/>
      <c r="H9" s="92"/>
      <c r="I9" s="87"/>
      <c r="J9" s="19"/>
      <c r="K9" s="17"/>
      <c r="L9" s="19"/>
      <c r="M9" s="19"/>
      <c r="N9" s="87"/>
      <c r="O9" s="28"/>
      <c r="P9" s="17"/>
      <c r="Q9" s="28"/>
      <c r="R9" s="19"/>
      <c r="S9" s="19"/>
      <c r="T9" s="19"/>
      <c r="U9" s="87"/>
      <c r="V9" s="19"/>
      <c r="W9" s="92"/>
      <c r="X9" s="19"/>
      <c r="Y9" s="19"/>
      <c r="Z9" s="19"/>
      <c r="AA9" s="93"/>
      <c r="AB9" s="68">
        <f>Initial_stock</f>
        <v>200000</v>
      </c>
      <c r="AC9" s="28"/>
      <c r="AD9" s="28"/>
      <c r="AI9" s="95">
        <f>Initial_fund</f>
        <v>5000</v>
      </c>
    </row>
    <row r="10" spans="2:41" ht="12.75">
      <c r="B10" s="17" t="s">
        <v>3</v>
      </c>
      <c r="C10" s="28"/>
      <c r="D10" s="96">
        <f>LN(Qs)-Es*LN(P)</f>
        <v>11.656766501196119</v>
      </c>
      <c r="E10" s="14"/>
      <c r="F10" s="28"/>
      <c r="G10" s="10" t="s">
        <v>61</v>
      </c>
      <c r="H10" s="97">
        <v>0</v>
      </c>
      <c r="I10" s="98">
        <v>0</v>
      </c>
      <c r="J10" s="99"/>
      <c r="K10" s="97">
        <f aca="true" t="shared" si="0" ref="K10:K41">EXP((Dalpha-Salpha-LN(1+I10))/(Sbeta-Dbeta))</f>
        <v>330.0000000000008</v>
      </c>
      <c r="L10" s="70">
        <f aca="true" t="shared" si="1" ref="L10:L41">EXP(Salpha+LN(1+$I10)+Sbeta*LN(K10))</f>
        <v>2097617.696340303</v>
      </c>
      <c r="M10" s="70">
        <f aca="true" t="shared" si="2" ref="M10:M41">EXP(Dalpha+Dbeta*LN(K10))</f>
        <v>2097617.696340303</v>
      </c>
      <c r="N10" s="100">
        <f>L10*K10/1000000</f>
        <v>692.2138397923017</v>
      </c>
      <c r="O10" s="28"/>
      <c r="P10" s="97">
        <f aca="true" t="shared" si="3" ref="P10:P41">MAX(MIN(K10,Import_parity_price),Export_parity_price)</f>
        <v>330.0000000000008</v>
      </c>
      <c r="Q10" s="70">
        <f aca="true" t="shared" si="4" ref="Q10:Q41">EXP(Salpha+LN(1+$I10)+Sbeta*LN(P10))</f>
        <v>2097617.696340303</v>
      </c>
      <c r="R10" s="70">
        <f aca="true" t="shared" si="5" ref="R10:R41">EXP(Dalpha+Dbeta*LN(P10))</f>
        <v>2097617.696340303</v>
      </c>
      <c r="S10" s="70">
        <f>Q10*P10/1000000</f>
        <v>692.2138397923017</v>
      </c>
      <c r="T10" s="101">
        <f aca="true" t="shared" si="6" ref="T10:T41">R10-Q10</f>
        <v>0</v>
      </c>
      <c r="U10" s="102">
        <f aca="true" t="shared" si="7" ref="U10:U41">T10*Import_tariff*Pw/1000000</f>
        <v>0</v>
      </c>
      <c r="V10" s="103"/>
      <c r="W10" s="97">
        <f aca="true" t="shared" si="8" ref="W10:W41">MAX(MIN(K10,Sell_price),Buy_price)</f>
        <v>330.0000000000008</v>
      </c>
      <c r="X10" s="70">
        <f aca="true" t="shared" si="9" ref="X10:X41">EXP(Salpha+LN(1+$I10)+Sbeta*LN(W10))</f>
        <v>2097617.696340303</v>
      </c>
      <c r="Y10" s="70">
        <f aca="true" t="shared" si="10" ref="Y10:Y41">EXP(Dalpha+Dbeta*LN(W10))</f>
        <v>2097617.696340303</v>
      </c>
      <c r="Z10" s="70">
        <f>X10*W10/1000000</f>
        <v>692.2138397923017</v>
      </c>
      <c r="AA10" s="68">
        <f>X10-Y10</f>
        <v>0</v>
      </c>
      <c r="AB10" s="101">
        <f>AB9+AA10</f>
        <v>200000</v>
      </c>
      <c r="AC10" s="104">
        <f>AA10*W10/1000000</f>
        <v>0</v>
      </c>
      <c r="AD10" s="104">
        <f aca="true" t="shared" si="11" ref="AD10:AD41">ABS(AA10*Transport_cost)/1000000</f>
        <v>0</v>
      </c>
      <c r="AE10" s="105">
        <f aca="true" t="shared" si="12" ref="AE10:AE41">MAX(0,Storage_cost*AB10/1000000)</f>
        <v>2</v>
      </c>
      <c r="AF10" s="105">
        <f aca="true" t="shared" si="13" ref="AF10:AF41">MAX(0,AB10*W10*Interest_rate*0.75/1000000)</f>
        <v>4.950000000000012</v>
      </c>
      <c r="AG10" s="105">
        <f>SUM(AC10:AF10)</f>
        <v>6.950000000000012</v>
      </c>
      <c r="AH10" s="106">
        <f>AG10</f>
        <v>6.950000000000012</v>
      </c>
      <c r="AI10" s="95">
        <f aca="true" t="shared" si="14" ref="AI10:AI41">Initial_fund-AH10</f>
        <v>4993.05</v>
      </c>
      <c r="AK10" s="4">
        <f aca="true" t="shared" si="15" ref="AK10:AK73">IF(AB10&lt;0,1,0)</f>
        <v>0</v>
      </c>
      <c r="AL10" s="4">
        <f aca="true" t="shared" si="16" ref="AL10:AL73">IF(AI10&lt;0,1,0)</f>
        <v>0</v>
      </c>
      <c r="AM10" s="4">
        <f aca="true" t="shared" si="17" ref="AM10:AM41">IF(AB10&gt;Storage_capacity,1,0)</f>
        <v>0</v>
      </c>
      <c r="AN10" s="4">
        <f>IF(AA10&lt;0,1,0)</f>
        <v>0</v>
      </c>
      <c r="AO10" s="4">
        <f>IF(AA10&gt;0,1,0)</f>
        <v>0</v>
      </c>
    </row>
    <row r="11" spans="2:41" ht="12.75">
      <c r="B11" s="17" t="s">
        <v>4</v>
      </c>
      <c r="C11" s="28"/>
      <c r="D11" s="96">
        <f>Es</f>
        <v>0.5</v>
      </c>
      <c r="E11" s="14"/>
      <c r="F11" s="28"/>
      <c r="G11" s="10" t="s">
        <v>23</v>
      </c>
      <c r="H11" s="107">
        <f>1+H10</f>
        <v>1</v>
      </c>
      <c r="I11" s="98">
        <f aca="true" ca="1" t="shared" si="18" ref="I11:I42">MAX($G$13,NORMINV(RAND(),0,StdDevS))</f>
        <v>-0.0032672445468615017</v>
      </c>
      <c r="J11" s="99"/>
      <c r="K11" s="97">
        <f t="shared" si="0"/>
        <v>331.08172496044335</v>
      </c>
      <c r="L11" s="70">
        <f t="shared" si="1"/>
        <v>2094188.1777896218</v>
      </c>
      <c r="M11" s="70">
        <f t="shared" si="2"/>
        <v>2094188.1777896218</v>
      </c>
      <c r="N11" s="100">
        <f aca="true" t="shared" si="19" ref="N11:N74">L11*K11/1000000</f>
        <v>693.3474342943556</v>
      </c>
      <c r="O11" s="28"/>
      <c r="P11" s="97">
        <f t="shared" si="3"/>
        <v>331.08172496044335</v>
      </c>
      <c r="Q11" s="70">
        <f t="shared" si="4"/>
        <v>2094188.1777896218</v>
      </c>
      <c r="R11" s="70">
        <f t="shared" si="5"/>
        <v>2094188.1777896218</v>
      </c>
      <c r="S11" s="70">
        <f aca="true" t="shared" si="20" ref="S11:S74">Q11*P11/1000000</f>
        <v>693.3474342943556</v>
      </c>
      <c r="T11" s="101">
        <f t="shared" si="6"/>
        <v>0</v>
      </c>
      <c r="U11" s="102">
        <f t="shared" si="7"/>
        <v>0</v>
      </c>
      <c r="V11" s="103"/>
      <c r="W11" s="97">
        <f t="shared" si="8"/>
        <v>331.08172496044335</v>
      </c>
      <c r="X11" s="70">
        <f t="shared" si="9"/>
        <v>2094188.1777896218</v>
      </c>
      <c r="Y11" s="70">
        <f t="shared" si="10"/>
        <v>2094188.1777896218</v>
      </c>
      <c r="Z11" s="70">
        <f aca="true" t="shared" si="21" ref="Z11:Z74">X11*W11/1000000</f>
        <v>693.3474342943556</v>
      </c>
      <c r="AA11" s="68">
        <f aca="true" t="shared" si="22" ref="AA11:AA74">X11-Y11</f>
        <v>0</v>
      </c>
      <c r="AB11" s="101">
        <f aca="true" t="shared" si="23" ref="AB11:AB74">AB10+AA11</f>
        <v>200000</v>
      </c>
      <c r="AC11" s="104">
        <f aca="true" t="shared" si="24" ref="AC11:AC74">AA11*W11/1000000</f>
        <v>0</v>
      </c>
      <c r="AD11" s="104">
        <f t="shared" si="11"/>
        <v>0</v>
      </c>
      <c r="AE11" s="105">
        <f t="shared" si="12"/>
        <v>2</v>
      </c>
      <c r="AF11" s="105">
        <f t="shared" si="13"/>
        <v>4.966225874406651</v>
      </c>
      <c r="AG11" s="105">
        <f aca="true" t="shared" si="25" ref="AG11:AG74">SUM(AC11:AF11)</f>
        <v>6.966225874406651</v>
      </c>
      <c r="AH11" s="106">
        <f aca="true" t="shared" si="26" ref="AH11:AH74">AH10+AG11</f>
        <v>13.916225874406663</v>
      </c>
      <c r="AI11" s="95">
        <f t="shared" si="14"/>
        <v>4986.083774125594</v>
      </c>
      <c r="AK11" s="4">
        <f t="shared" si="15"/>
        <v>0</v>
      </c>
      <c r="AL11" s="4">
        <f t="shared" si="16"/>
        <v>0</v>
      </c>
      <c r="AM11" s="4">
        <f t="shared" si="17"/>
        <v>0</v>
      </c>
      <c r="AN11" s="4">
        <f aca="true" t="shared" si="27" ref="AN11:AN74">IF(AA11&lt;0,1,0)</f>
        <v>0</v>
      </c>
      <c r="AO11" s="4">
        <f aca="true" t="shared" si="28" ref="AO11:AO74">IF(AA11&gt;0,1,0)</f>
        <v>0</v>
      </c>
    </row>
    <row r="12" spans="2:41" ht="12.75">
      <c r="B12" s="17"/>
      <c r="C12" s="28"/>
      <c r="D12" s="70"/>
      <c r="E12" s="14"/>
      <c r="F12" s="28"/>
      <c r="G12" s="10" t="s">
        <v>62</v>
      </c>
      <c r="H12" s="107">
        <f aca="true" t="shared" si="29" ref="H12:H75">1+H11</f>
        <v>2</v>
      </c>
      <c r="I12" s="98">
        <f ca="1" t="shared" si="18"/>
        <v>0.2354653659123941</v>
      </c>
      <c r="J12" s="99"/>
      <c r="K12" s="97">
        <f t="shared" si="0"/>
        <v>267.1058283825667</v>
      </c>
      <c r="L12" s="70">
        <f t="shared" si="1"/>
        <v>2331533.3173717563</v>
      </c>
      <c r="M12" s="70">
        <f t="shared" si="2"/>
        <v>2331533.3173717563</v>
      </c>
      <c r="N12" s="100">
        <f t="shared" si="19"/>
        <v>622.7661381381367</v>
      </c>
      <c r="O12" s="28"/>
      <c r="P12" s="97">
        <f t="shared" si="3"/>
        <v>267.1058283825667</v>
      </c>
      <c r="Q12" s="70">
        <f t="shared" si="4"/>
        <v>2331533.3173717563</v>
      </c>
      <c r="R12" s="70">
        <f t="shared" si="5"/>
        <v>2331533.3173717563</v>
      </c>
      <c r="S12" s="70">
        <f t="shared" si="20"/>
        <v>622.7661381381367</v>
      </c>
      <c r="T12" s="101">
        <f t="shared" si="6"/>
        <v>0</v>
      </c>
      <c r="U12" s="102">
        <f t="shared" si="7"/>
        <v>0</v>
      </c>
      <c r="V12" s="103"/>
      <c r="W12" s="97">
        <f t="shared" si="8"/>
        <v>300</v>
      </c>
      <c r="X12" s="70">
        <f t="shared" si="9"/>
        <v>2470930.7318247887</v>
      </c>
      <c r="Y12" s="70">
        <f t="shared" si="10"/>
        <v>2200000.0000000047</v>
      </c>
      <c r="Z12" s="70">
        <f t="shared" si="21"/>
        <v>741.2792195474366</v>
      </c>
      <c r="AA12" s="68">
        <f t="shared" si="22"/>
        <v>270930.7318247841</v>
      </c>
      <c r="AB12" s="101">
        <f t="shared" si="23"/>
        <v>470930.7318247841</v>
      </c>
      <c r="AC12" s="104">
        <f t="shared" si="24"/>
        <v>81.27921954743522</v>
      </c>
      <c r="AD12" s="104">
        <f t="shared" si="11"/>
        <v>6.7732682956196015</v>
      </c>
      <c r="AE12" s="105">
        <f t="shared" si="12"/>
        <v>4.70930731824784</v>
      </c>
      <c r="AF12" s="105">
        <f t="shared" si="13"/>
        <v>10.595941466057644</v>
      </c>
      <c r="AG12" s="105">
        <f t="shared" si="25"/>
        <v>103.3577366273603</v>
      </c>
      <c r="AH12" s="106">
        <f t="shared" si="26"/>
        <v>117.27396250176696</v>
      </c>
      <c r="AI12" s="95">
        <f t="shared" si="14"/>
        <v>4882.726037498233</v>
      </c>
      <c r="AK12" s="4">
        <f t="shared" si="15"/>
        <v>0</v>
      </c>
      <c r="AL12" s="4">
        <f t="shared" si="16"/>
        <v>0</v>
      </c>
      <c r="AM12" s="4">
        <f t="shared" si="17"/>
        <v>1</v>
      </c>
      <c r="AN12" s="4">
        <f t="shared" si="27"/>
        <v>0</v>
      </c>
      <c r="AO12" s="4">
        <f t="shared" si="28"/>
        <v>1</v>
      </c>
    </row>
    <row r="13" spans="2:41" ht="12.75">
      <c r="B13" s="13" t="s">
        <v>12</v>
      </c>
      <c r="C13" s="31"/>
      <c r="D13" s="28"/>
      <c r="E13" s="14"/>
      <c r="F13" s="28"/>
      <c r="G13" s="108">
        <v>-0.5</v>
      </c>
      <c r="H13" s="107">
        <f t="shared" si="29"/>
        <v>3</v>
      </c>
      <c r="I13" s="98">
        <f ca="1" t="shared" si="18"/>
        <v>0.3137975403993279</v>
      </c>
      <c r="J13" s="99"/>
      <c r="K13" s="97">
        <f t="shared" si="0"/>
        <v>251.18025407453374</v>
      </c>
      <c r="L13" s="70">
        <f t="shared" si="1"/>
        <v>2404310.5410402073</v>
      </c>
      <c r="M13" s="70">
        <f t="shared" si="2"/>
        <v>2404310.5410402073</v>
      </c>
      <c r="N13" s="100">
        <f t="shared" si="19"/>
        <v>603.9153325725589</v>
      </c>
      <c r="O13" s="28"/>
      <c r="P13" s="97">
        <f t="shared" si="3"/>
        <v>251.18025407453374</v>
      </c>
      <c r="Q13" s="70">
        <f t="shared" si="4"/>
        <v>2404310.5410402073</v>
      </c>
      <c r="R13" s="70">
        <f t="shared" si="5"/>
        <v>2404310.5410402073</v>
      </c>
      <c r="S13" s="70">
        <f t="shared" si="20"/>
        <v>603.9153325725589</v>
      </c>
      <c r="T13" s="101">
        <f t="shared" si="6"/>
        <v>0</v>
      </c>
      <c r="U13" s="102">
        <f t="shared" si="7"/>
        <v>0</v>
      </c>
      <c r="V13" s="103"/>
      <c r="W13" s="97">
        <f t="shared" si="8"/>
        <v>300</v>
      </c>
      <c r="X13" s="70">
        <f t="shared" si="9"/>
        <v>2627595.0807986557</v>
      </c>
      <c r="Y13" s="70">
        <f t="shared" si="10"/>
        <v>2200000.0000000047</v>
      </c>
      <c r="Z13" s="70">
        <f t="shared" si="21"/>
        <v>788.2785242395968</v>
      </c>
      <c r="AA13" s="68">
        <f t="shared" si="22"/>
        <v>427595.0807986511</v>
      </c>
      <c r="AB13" s="101">
        <f t="shared" si="23"/>
        <v>898525.8126234352</v>
      </c>
      <c r="AC13" s="104">
        <f t="shared" si="24"/>
        <v>128.27852423959533</v>
      </c>
      <c r="AD13" s="104">
        <f t="shared" si="11"/>
        <v>10.689877019966278</v>
      </c>
      <c r="AE13" s="105">
        <f t="shared" si="12"/>
        <v>8.985258126234353</v>
      </c>
      <c r="AF13" s="105">
        <f t="shared" si="13"/>
        <v>20.216830784027294</v>
      </c>
      <c r="AG13" s="105">
        <f t="shared" si="25"/>
        <v>168.17049016982327</v>
      </c>
      <c r="AH13" s="106">
        <f t="shared" si="26"/>
        <v>285.4444526715902</v>
      </c>
      <c r="AI13" s="95">
        <f t="shared" si="14"/>
        <v>4714.555547328409</v>
      </c>
      <c r="AK13" s="4">
        <f t="shared" si="15"/>
        <v>0</v>
      </c>
      <c r="AL13" s="4">
        <f t="shared" si="16"/>
        <v>0</v>
      </c>
      <c r="AM13" s="4">
        <f t="shared" si="17"/>
        <v>1</v>
      </c>
      <c r="AN13" s="4">
        <f t="shared" si="27"/>
        <v>0</v>
      </c>
      <c r="AO13" s="4">
        <f t="shared" si="28"/>
        <v>1</v>
      </c>
    </row>
    <row r="14" spans="2:41" ht="12.75">
      <c r="B14" s="17" t="s">
        <v>49</v>
      </c>
      <c r="C14" s="28"/>
      <c r="D14" s="28"/>
      <c r="E14" s="14"/>
      <c r="F14" s="28"/>
      <c r="G14" s="10"/>
      <c r="H14" s="107">
        <f t="shared" si="29"/>
        <v>4</v>
      </c>
      <c r="I14" s="98">
        <f ca="1" t="shared" si="18"/>
        <v>-0.03328212044383545</v>
      </c>
      <c r="J14" s="99"/>
      <c r="K14" s="97">
        <f t="shared" si="0"/>
        <v>341.3612254192599</v>
      </c>
      <c r="L14" s="70">
        <f t="shared" si="1"/>
        <v>2062415.7364719498</v>
      </c>
      <c r="M14" s="70">
        <f t="shared" si="2"/>
        <v>2062415.7364719498</v>
      </c>
      <c r="N14" s="100">
        <f t="shared" si="19"/>
        <v>704.0287631260302</v>
      </c>
      <c r="O14" s="28"/>
      <c r="P14" s="97">
        <f t="shared" si="3"/>
        <v>341.3612254192599</v>
      </c>
      <c r="Q14" s="70">
        <f t="shared" si="4"/>
        <v>2062415.7364719498</v>
      </c>
      <c r="R14" s="70">
        <f t="shared" si="5"/>
        <v>2062415.7364719498</v>
      </c>
      <c r="S14" s="70">
        <f t="shared" si="20"/>
        <v>704.0287631260302</v>
      </c>
      <c r="T14" s="101">
        <f t="shared" si="6"/>
        <v>0</v>
      </c>
      <c r="U14" s="102">
        <f t="shared" si="7"/>
        <v>0</v>
      </c>
      <c r="V14" s="103"/>
      <c r="W14" s="97">
        <f t="shared" si="8"/>
        <v>341.3612254192599</v>
      </c>
      <c r="X14" s="70">
        <f t="shared" si="9"/>
        <v>2062415.7364719498</v>
      </c>
      <c r="Y14" s="70">
        <f t="shared" si="10"/>
        <v>2062415.7364719498</v>
      </c>
      <c r="Z14" s="70">
        <f t="shared" si="21"/>
        <v>704.0287631260302</v>
      </c>
      <c r="AA14" s="68">
        <f t="shared" si="22"/>
        <v>0</v>
      </c>
      <c r="AB14" s="101">
        <f t="shared" si="23"/>
        <v>898525.8126234352</v>
      </c>
      <c r="AC14" s="104">
        <f t="shared" si="24"/>
        <v>0</v>
      </c>
      <c r="AD14" s="104">
        <f t="shared" si="11"/>
        <v>0</v>
      </c>
      <c r="AE14" s="105">
        <f t="shared" si="12"/>
        <v>8.985258126234353</v>
      </c>
      <c r="AF14" s="105">
        <f t="shared" si="13"/>
        <v>23.00414043509791</v>
      </c>
      <c r="AG14" s="105">
        <f t="shared" si="25"/>
        <v>31.989398561332262</v>
      </c>
      <c r="AH14" s="106">
        <f t="shared" si="26"/>
        <v>317.4338512329225</v>
      </c>
      <c r="AI14" s="95">
        <f t="shared" si="14"/>
        <v>4682.566148767078</v>
      </c>
      <c r="AK14" s="4">
        <f t="shared" si="15"/>
        <v>0</v>
      </c>
      <c r="AL14" s="4">
        <f t="shared" si="16"/>
        <v>0</v>
      </c>
      <c r="AM14" s="4">
        <f t="shared" si="17"/>
        <v>1</v>
      </c>
      <c r="AN14" s="4">
        <f t="shared" si="27"/>
        <v>0</v>
      </c>
      <c r="AO14" s="4">
        <f t="shared" si="28"/>
        <v>0</v>
      </c>
    </row>
    <row r="15" spans="2:41" ht="12.75">
      <c r="B15" s="17" t="s">
        <v>17</v>
      </c>
      <c r="C15" s="28"/>
      <c r="D15" s="70"/>
      <c r="E15" s="14"/>
      <c r="F15" s="28"/>
      <c r="G15" s="10"/>
      <c r="H15" s="107">
        <f t="shared" si="29"/>
        <v>5</v>
      </c>
      <c r="I15" s="98">
        <f ca="1" t="shared" si="18"/>
        <v>-0.16553575214542787</v>
      </c>
      <c r="J15" s="99"/>
      <c r="K15" s="97">
        <f t="shared" si="0"/>
        <v>395.46331774960856</v>
      </c>
      <c r="L15" s="70">
        <f t="shared" si="1"/>
        <v>1916153.0968479868</v>
      </c>
      <c r="M15" s="70">
        <f t="shared" si="2"/>
        <v>1916153.0968479868</v>
      </c>
      <c r="N15" s="100">
        <f t="shared" si="19"/>
        <v>757.7682609956919</v>
      </c>
      <c r="O15" s="28"/>
      <c r="P15" s="97">
        <f t="shared" si="3"/>
        <v>395.46331774960856</v>
      </c>
      <c r="Q15" s="70">
        <f t="shared" si="4"/>
        <v>1916153.0968479868</v>
      </c>
      <c r="R15" s="70">
        <f t="shared" si="5"/>
        <v>1916153.0968479868</v>
      </c>
      <c r="S15" s="70">
        <f t="shared" si="20"/>
        <v>757.7682609956919</v>
      </c>
      <c r="T15" s="101">
        <f t="shared" si="6"/>
        <v>0</v>
      </c>
      <c r="U15" s="102">
        <f t="shared" si="7"/>
        <v>0</v>
      </c>
      <c r="V15" s="103"/>
      <c r="W15" s="97">
        <f t="shared" si="8"/>
        <v>395.46331774960856</v>
      </c>
      <c r="X15" s="70">
        <f t="shared" si="9"/>
        <v>1916153.0968479868</v>
      </c>
      <c r="Y15" s="70">
        <f t="shared" si="10"/>
        <v>1916153.0968479868</v>
      </c>
      <c r="Z15" s="70">
        <f t="shared" si="21"/>
        <v>757.7682609956919</v>
      </c>
      <c r="AA15" s="68">
        <f t="shared" si="22"/>
        <v>0</v>
      </c>
      <c r="AB15" s="101">
        <f t="shared" si="23"/>
        <v>898525.8126234352</v>
      </c>
      <c r="AC15" s="104">
        <f t="shared" si="24"/>
        <v>0</v>
      </c>
      <c r="AD15" s="104">
        <f t="shared" si="11"/>
        <v>0</v>
      </c>
      <c r="AE15" s="105">
        <f t="shared" si="12"/>
        <v>8.985258126234353</v>
      </c>
      <c r="AF15" s="105">
        <f t="shared" si="13"/>
        <v>26.650049920779512</v>
      </c>
      <c r="AG15" s="105">
        <f t="shared" si="25"/>
        <v>35.635308047013865</v>
      </c>
      <c r="AH15" s="106">
        <f t="shared" si="26"/>
        <v>353.06915927993634</v>
      </c>
      <c r="AI15" s="95">
        <f t="shared" si="14"/>
        <v>4646.930840720063</v>
      </c>
      <c r="AK15" s="4">
        <f t="shared" si="15"/>
        <v>0</v>
      </c>
      <c r="AL15" s="4">
        <f t="shared" si="16"/>
        <v>0</v>
      </c>
      <c r="AM15" s="4">
        <f t="shared" si="17"/>
        <v>1</v>
      </c>
      <c r="AN15" s="4">
        <f t="shared" si="27"/>
        <v>0</v>
      </c>
      <c r="AO15" s="4">
        <f t="shared" si="28"/>
        <v>0</v>
      </c>
    </row>
    <row r="16" spans="2:41" ht="12.75">
      <c r="B16" s="17" t="s">
        <v>8</v>
      </c>
      <c r="C16" s="28"/>
      <c r="D16" s="109">
        <f>LN(Qd)-Dbeta*LN(P)</f>
        <v>17.455859155656647</v>
      </c>
      <c r="E16" s="14"/>
      <c r="F16" s="28"/>
      <c r="G16" s="10"/>
      <c r="H16" s="107">
        <f t="shared" si="29"/>
        <v>6</v>
      </c>
      <c r="I16" s="98">
        <f ca="1" t="shared" si="18"/>
        <v>0.013529664320453908</v>
      </c>
      <c r="J16" s="99"/>
      <c r="K16" s="97">
        <f t="shared" si="0"/>
        <v>325.59481149597883</v>
      </c>
      <c r="L16" s="70">
        <f t="shared" si="1"/>
        <v>2111760.053370175</v>
      </c>
      <c r="M16" s="70">
        <f t="shared" si="2"/>
        <v>2111760.053370175</v>
      </c>
      <c r="N16" s="100">
        <f t="shared" si="19"/>
        <v>687.5781165018003</v>
      </c>
      <c r="O16" s="28"/>
      <c r="P16" s="97">
        <f t="shared" si="3"/>
        <v>325.59481149597883</v>
      </c>
      <c r="Q16" s="70">
        <f t="shared" si="4"/>
        <v>2111760.053370175</v>
      </c>
      <c r="R16" s="70">
        <f t="shared" si="5"/>
        <v>2111760.053370175</v>
      </c>
      <c r="S16" s="70">
        <f t="shared" si="20"/>
        <v>687.5781165018003</v>
      </c>
      <c r="T16" s="101">
        <f t="shared" si="6"/>
        <v>0</v>
      </c>
      <c r="U16" s="102">
        <f t="shared" si="7"/>
        <v>0</v>
      </c>
      <c r="V16" s="103"/>
      <c r="W16" s="97">
        <f t="shared" si="8"/>
        <v>325.59481149597883</v>
      </c>
      <c r="X16" s="70">
        <f t="shared" si="9"/>
        <v>2111760.053370175</v>
      </c>
      <c r="Y16" s="70">
        <f t="shared" si="10"/>
        <v>2111760.053370175</v>
      </c>
      <c r="Z16" s="70">
        <f t="shared" si="21"/>
        <v>687.5781165018003</v>
      </c>
      <c r="AA16" s="68">
        <f t="shared" si="22"/>
        <v>0</v>
      </c>
      <c r="AB16" s="101">
        <f t="shared" si="23"/>
        <v>898525.8126234352</v>
      </c>
      <c r="AC16" s="104">
        <f t="shared" si="24"/>
        <v>0</v>
      </c>
      <c r="AD16" s="104">
        <f t="shared" si="11"/>
        <v>0</v>
      </c>
      <c r="AE16" s="105">
        <f t="shared" si="12"/>
        <v>8.985258126234353</v>
      </c>
      <c r="AF16" s="105">
        <f t="shared" si="13"/>
        <v>21.94165069390489</v>
      </c>
      <c r="AG16" s="105">
        <f t="shared" si="25"/>
        <v>30.926908820139243</v>
      </c>
      <c r="AH16" s="106">
        <f t="shared" si="26"/>
        <v>383.9960681000756</v>
      </c>
      <c r="AI16" s="95">
        <f t="shared" si="14"/>
        <v>4616.003931899924</v>
      </c>
      <c r="AK16" s="4">
        <f t="shared" si="15"/>
        <v>0</v>
      </c>
      <c r="AL16" s="4">
        <f t="shared" si="16"/>
        <v>0</v>
      </c>
      <c r="AM16" s="4">
        <f t="shared" si="17"/>
        <v>1</v>
      </c>
      <c r="AN16" s="4">
        <f t="shared" si="27"/>
        <v>0</v>
      </c>
      <c r="AO16" s="4">
        <f t="shared" si="28"/>
        <v>0</v>
      </c>
    </row>
    <row r="17" spans="2:41" ht="12.75">
      <c r="B17" s="17" t="s">
        <v>9</v>
      </c>
      <c r="C17" s="28"/>
      <c r="D17" s="109">
        <f>Edp</f>
        <v>-0.5</v>
      </c>
      <c r="E17" s="14"/>
      <c r="F17" s="28"/>
      <c r="G17" s="10"/>
      <c r="H17" s="107">
        <f t="shared" si="29"/>
        <v>7</v>
      </c>
      <c r="I17" s="98">
        <f ca="1" t="shared" si="18"/>
        <v>-0.16233625396644355</v>
      </c>
      <c r="J17" s="99"/>
      <c r="K17" s="97">
        <f t="shared" si="0"/>
        <v>393.9528260147256</v>
      </c>
      <c r="L17" s="70">
        <f t="shared" si="1"/>
        <v>1919823.0341746754</v>
      </c>
      <c r="M17" s="70">
        <f t="shared" si="2"/>
        <v>1919823.0341746754</v>
      </c>
      <c r="N17" s="100">
        <f t="shared" si="19"/>
        <v>756.3197097612785</v>
      </c>
      <c r="O17" s="28"/>
      <c r="P17" s="97">
        <f t="shared" si="3"/>
        <v>393.9528260147256</v>
      </c>
      <c r="Q17" s="70">
        <f t="shared" si="4"/>
        <v>1919823.0341746754</v>
      </c>
      <c r="R17" s="70">
        <f t="shared" si="5"/>
        <v>1919823.0341746754</v>
      </c>
      <c r="S17" s="70">
        <f t="shared" si="20"/>
        <v>756.3197097612785</v>
      </c>
      <c r="T17" s="101">
        <f t="shared" si="6"/>
        <v>0</v>
      </c>
      <c r="U17" s="102">
        <f t="shared" si="7"/>
        <v>0</v>
      </c>
      <c r="V17" s="103"/>
      <c r="W17" s="97">
        <f t="shared" si="8"/>
        <v>393.9528260147256</v>
      </c>
      <c r="X17" s="70">
        <f t="shared" si="9"/>
        <v>1919823.0341746754</v>
      </c>
      <c r="Y17" s="70">
        <f t="shared" si="10"/>
        <v>1919823.0341746754</v>
      </c>
      <c r="Z17" s="70">
        <f t="shared" si="21"/>
        <v>756.3197097612785</v>
      </c>
      <c r="AA17" s="68">
        <f t="shared" si="22"/>
        <v>0</v>
      </c>
      <c r="AB17" s="101">
        <f t="shared" si="23"/>
        <v>898525.8126234352</v>
      </c>
      <c r="AC17" s="104">
        <f t="shared" si="24"/>
        <v>0</v>
      </c>
      <c r="AD17" s="104">
        <f t="shared" si="11"/>
        <v>0</v>
      </c>
      <c r="AE17" s="105">
        <f t="shared" si="12"/>
        <v>8.985258126234353</v>
      </c>
      <c r="AF17" s="105">
        <f t="shared" si="13"/>
        <v>26.548258734763508</v>
      </c>
      <c r="AG17" s="105">
        <f t="shared" si="25"/>
        <v>35.533516860997864</v>
      </c>
      <c r="AH17" s="106">
        <f t="shared" si="26"/>
        <v>419.52958496107345</v>
      </c>
      <c r="AI17" s="95">
        <f t="shared" si="14"/>
        <v>4580.470415038926</v>
      </c>
      <c r="AK17" s="4">
        <f t="shared" si="15"/>
        <v>0</v>
      </c>
      <c r="AL17" s="4">
        <f t="shared" si="16"/>
        <v>0</v>
      </c>
      <c r="AM17" s="4">
        <f t="shared" si="17"/>
        <v>1</v>
      </c>
      <c r="AN17" s="4">
        <f t="shared" si="27"/>
        <v>0</v>
      </c>
      <c r="AO17" s="4">
        <f t="shared" si="28"/>
        <v>0</v>
      </c>
    </row>
    <row r="18" spans="2:41" ht="12.75">
      <c r="B18" s="17"/>
      <c r="C18" s="28"/>
      <c r="D18" s="96"/>
      <c r="E18" s="14"/>
      <c r="F18" s="28"/>
      <c r="G18" s="10"/>
      <c r="H18" s="107">
        <f t="shared" si="29"/>
        <v>8</v>
      </c>
      <c r="I18" s="98">
        <f ca="1" t="shared" si="18"/>
        <v>-0.07267021558280416</v>
      </c>
      <c r="J18" s="99"/>
      <c r="K18" s="97">
        <f t="shared" si="0"/>
        <v>355.8604560592194</v>
      </c>
      <c r="L18" s="70">
        <f t="shared" si="1"/>
        <v>2019963.1312070224</v>
      </c>
      <c r="M18" s="70">
        <f t="shared" si="2"/>
        <v>2019963.1312070189</v>
      </c>
      <c r="N18" s="100">
        <f t="shared" si="19"/>
        <v>718.8250010941398</v>
      </c>
      <c r="O18" s="28"/>
      <c r="P18" s="97">
        <f t="shared" si="3"/>
        <v>355.8604560592194</v>
      </c>
      <c r="Q18" s="70">
        <f t="shared" si="4"/>
        <v>2019963.1312070224</v>
      </c>
      <c r="R18" s="70">
        <f t="shared" si="5"/>
        <v>2019963.1312070189</v>
      </c>
      <c r="S18" s="70">
        <f t="shared" si="20"/>
        <v>718.8250010941398</v>
      </c>
      <c r="T18" s="101">
        <f t="shared" si="6"/>
        <v>-3.4924596548080444E-09</v>
      </c>
      <c r="U18" s="102">
        <f t="shared" si="7"/>
        <v>0</v>
      </c>
      <c r="V18" s="103"/>
      <c r="W18" s="97">
        <f t="shared" si="8"/>
        <v>355.8604560592194</v>
      </c>
      <c r="X18" s="70">
        <f t="shared" si="9"/>
        <v>2019963.1312070224</v>
      </c>
      <c r="Y18" s="70">
        <f t="shared" si="10"/>
        <v>2019963.1312070189</v>
      </c>
      <c r="Z18" s="70">
        <f t="shared" si="21"/>
        <v>718.8250010941398</v>
      </c>
      <c r="AA18" s="68">
        <f t="shared" si="22"/>
        <v>3.4924596548080444E-09</v>
      </c>
      <c r="AB18" s="101">
        <f t="shared" si="23"/>
        <v>898525.8126234387</v>
      </c>
      <c r="AC18" s="104">
        <f t="shared" si="24"/>
        <v>1.2428282855284147E-12</v>
      </c>
      <c r="AD18" s="104">
        <f t="shared" si="11"/>
        <v>8.731149137020111E-14</v>
      </c>
      <c r="AE18" s="105">
        <f t="shared" si="12"/>
        <v>8.985258126234386</v>
      </c>
      <c r="AF18" s="105">
        <f t="shared" si="13"/>
        <v>23.981235409586823</v>
      </c>
      <c r="AG18" s="105">
        <f t="shared" si="25"/>
        <v>32.966493535822536</v>
      </c>
      <c r="AH18" s="106">
        <f t="shared" si="26"/>
        <v>452.49607849689596</v>
      </c>
      <c r="AI18" s="95">
        <f t="shared" si="14"/>
        <v>4547.503921503104</v>
      </c>
      <c r="AK18" s="4">
        <f t="shared" si="15"/>
        <v>0</v>
      </c>
      <c r="AL18" s="4">
        <f t="shared" si="16"/>
        <v>0</v>
      </c>
      <c r="AM18" s="4">
        <f t="shared" si="17"/>
        <v>1</v>
      </c>
      <c r="AN18" s="4">
        <f t="shared" si="27"/>
        <v>0</v>
      </c>
      <c r="AO18" s="4">
        <f t="shared" si="28"/>
        <v>1</v>
      </c>
    </row>
    <row r="19" spans="2:41" ht="12.75">
      <c r="B19" s="13"/>
      <c r="C19" s="31"/>
      <c r="D19" s="110"/>
      <c r="E19" s="15"/>
      <c r="F19" s="28"/>
      <c r="G19" s="10"/>
      <c r="H19" s="107">
        <f t="shared" si="29"/>
        <v>9</v>
      </c>
      <c r="I19" s="98">
        <f ca="1" t="shared" si="18"/>
        <v>-0.2342579956598876</v>
      </c>
      <c r="J19" s="99"/>
      <c r="K19" s="97">
        <f t="shared" si="0"/>
        <v>430.9545488292527</v>
      </c>
      <c r="L19" s="70">
        <f t="shared" si="1"/>
        <v>1835555.7248682193</v>
      </c>
      <c r="M19" s="70">
        <f t="shared" si="2"/>
        <v>1835555.7248682193</v>
      </c>
      <c r="N19" s="100">
        <f t="shared" si="19"/>
        <v>791.0410892615354</v>
      </c>
      <c r="O19" s="28"/>
      <c r="P19" s="97">
        <f t="shared" si="3"/>
        <v>400</v>
      </c>
      <c r="Q19" s="70">
        <f t="shared" si="4"/>
        <v>1768405.4093422682</v>
      </c>
      <c r="R19" s="70">
        <f t="shared" si="5"/>
        <v>1905255.8883257702</v>
      </c>
      <c r="S19" s="70">
        <f t="shared" si="20"/>
        <v>707.3621637369073</v>
      </c>
      <c r="T19" s="101">
        <f t="shared" si="6"/>
        <v>136850.4789835019</v>
      </c>
      <c r="U19" s="102">
        <f t="shared" si="7"/>
        <v>0</v>
      </c>
      <c r="V19" s="103"/>
      <c r="W19" s="97">
        <f t="shared" si="8"/>
        <v>400</v>
      </c>
      <c r="X19" s="70">
        <f t="shared" si="9"/>
        <v>1768405.4093422682</v>
      </c>
      <c r="Y19" s="70">
        <f t="shared" si="10"/>
        <v>1905255.8883257702</v>
      </c>
      <c r="Z19" s="70">
        <f t="shared" si="21"/>
        <v>707.3621637369073</v>
      </c>
      <c r="AA19" s="68">
        <f t="shared" si="22"/>
        <v>-136850.4789835019</v>
      </c>
      <c r="AB19" s="101">
        <f t="shared" si="23"/>
        <v>761675.3336399368</v>
      </c>
      <c r="AC19" s="104">
        <f t="shared" si="24"/>
        <v>-54.74019159340076</v>
      </c>
      <c r="AD19" s="104">
        <f t="shared" si="11"/>
        <v>3.4212619745875474</v>
      </c>
      <c r="AE19" s="105">
        <f t="shared" si="12"/>
        <v>7.616753336399367</v>
      </c>
      <c r="AF19" s="105">
        <f t="shared" si="13"/>
        <v>22.850260009198102</v>
      </c>
      <c r="AG19" s="105">
        <f t="shared" si="25"/>
        <v>-20.851916273215743</v>
      </c>
      <c r="AH19" s="106">
        <f t="shared" si="26"/>
        <v>431.6441622236802</v>
      </c>
      <c r="AI19" s="95">
        <f t="shared" si="14"/>
        <v>4568.35583777632</v>
      </c>
      <c r="AK19" s="4">
        <f t="shared" si="15"/>
        <v>0</v>
      </c>
      <c r="AL19" s="4">
        <f t="shared" si="16"/>
        <v>0</v>
      </c>
      <c r="AM19" s="4">
        <f t="shared" si="17"/>
        <v>1</v>
      </c>
      <c r="AN19" s="4">
        <f t="shared" si="27"/>
        <v>1</v>
      </c>
      <c r="AO19" s="4">
        <f t="shared" si="28"/>
        <v>0</v>
      </c>
    </row>
    <row r="20" spans="2:41" ht="12.75">
      <c r="B20" s="10"/>
      <c r="C20" s="10"/>
      <c r="D20" s="111"/>
      <c r="E20" s="10"/>
      <c r="F20" s="10"/>
      <c r="G20" s="10"/>
      <c r="H20" s="107">
        <f t="shared" si="29"/>
        <v>10</v>
      </c>
      <c r="I20" s="98">
        <f ca="1" t="shared" si="18"/>
        <v>-0.03258638196393336</v>
      </c>
      <c r="J20" s="99"/>
      <c r="K20" s="97">
        <f t="shared" si="0"/>
        <v>341.11572738652285</v>
      </c>
      <c r="L20" s="70">
        <f t="shared" si="1"/>
        <v>2063157.7543558541</v>
      </c>
      <c r="M20" s="70">
        <f t="shared" si="2"/>
        <v>2063157.7543558578</v>
      </c>
      <c r="N20" s="100">
        <f t="shared" si="19"/>
        <v>703.7755580902423</v>
      </c>
      <c r="O20" s="28"/>
      <c r="P20" s="97">
        <f t="shared" si="3"/>
        <v>341.11572738652285</v>
      </c>
      <c r="Q20" s="70">
        <f t="shared" si="4"/>
        <v>2063157.7543558541</v>
      </c>
      <c r="R20" s="70">
        <f t="shared" si="5"/>
        <v>2063157.7543558578</v>
      </c>
      <c r="S20" s="70">
        <f t="shared" si="20"/>
        <v>703.7755580902423</v>
      </c>
      <c r="T20" s="101">
        <f t="shared" si="6"/>
        <v>3.725290298461914E-09</v>
      </c>
      <c r="U20" s="102">
        <f t="shared" si="7"/>
        <v>0</v>
      </c>
      <c r="V20" s="103"/>
      <c r="W20" s="97">
        <f t="shared" si="8"/>
        <v>341.11572738652285</v>
      </c>
      <c r="X20" s="70">
        <f t="shared" si="9"/>
        <v>2063157.7543558541</v>
      </c>
      <c r="Y20" s="70">
        <f t="shared" si="10"/>
        <v>2063157.7543558578</v>
      </c>
      <c r="Z20" s="70">
        <f t="shared" si="21"/>
        <v>703.7755580902423</v>
      </c>
      <c r="AA20" s="68">
        <f t="shared" si="22"/>
        <v>-3.725290298461914E-09</v>
      </c>
      <c r="AB20" s="101">
        <f t="shared" si="23"/>
        <v>761675.333639933</v>
      </c>
      <c r="AC20" s="104">
        <f t="shared" si="24"/>
        <v>-1.2707551098857925E-12</v>
      </c>
      <c r="AD20" s="104">
        <f t="shared" si="11"/>
        <v>9.313225746154786E-14</v>
      </c>
      <c r="AE20" s="105">
        <f t="shared" si="12"/>
        <v>7.61675333639933</v>
      </c>
      <c r="AF20" s="105">
        <f t="shared" si="13"/>
        <v>19.486457660021866</v>
      </c>
      <c r="AG20" s="105">
        <f t="shared" si="25"/>
        <v>27.103210996420017</v>
      </c>
      <c r="AH20" s="106">
        <f t="shared" si="26"/>
        <v>458.74737322010026</v>
      </c>
      <c r="AI20" s="95">
        <f t="shared" si="14"/>
        <v>4541.252626779899</v>
      </c>
      <c r="AK20" s="4">
        <f t="shared" si="15"/>
        <v>0</v>
      </c>
      <c r="AL20" s="4">
        <f t="shared" si="16"/>
        <v>0</v>
      </c>
      <c r="AM20" s="4">
        <f t="shared" si="17"/>
        <v>1</v>
      </c>
      <c r="AN20" s="4">
        <f t="shared" si="27"/>
        <v>1</v>
      </c>
      <c r="AO20" s="4">
        <f t="shared" si="28"/>
        <v>0</v>
      </c>
    </row>
    <row r="21" spans="2:41" ht="12.75">
      <c r="B21" s="10"/>
      <c r="C21" s="10"/>
      <c r="D21" s="111"/>
      <c r="E21" s="10"/>
      <c r="F21" s="10"/>
      <c r="G21" s="10"/>
      <c r="H21" s="107">
        <f t="shared" si="29"/>
        <v>11</v>
      </c>
      <c r="I21" s="98">
        <f ca="1" t="shared" si="18"/>
        <v>-0.38376283368694336</v>
      </c>
      <c r="J21" s="99"/>
      <c r="K21" s="97">
        <f t="shared" si="0"/>
        <v>535.5081096039513</v>
      </c>
      <c r="L21" s="70">
        <f t="shared" si="1"/>
        <v>1646646.1464982247</v>
      </c>
      <c r="M21" s="70">
        <f t="shared" si="2"/>
        <v>1646646.1464982247</v>
      </c>
      <c r="N21" s="100">
        <f t="shared" si="19"/>
        <v>881.7923650978954</v>
      </c>
      <c r="O21" s="28"/>
      <c r="P21" s="97">
        <f t="shared" si="3"/>
        <v>400</v>
      </c>
      <c r="Q21" s="70">
        <f t="shared" si="4"/>
        <v>1423138.7754219796</v>
      </c>
      <c r="R21" s="70">
        <f t="shared" si="5"/>
        <v>1905255.8883257702</v>
      </c>
      <c r="S21" s="70">
        <f t="shared" si="20"/>
        <v>569.255510168792</v>
      </c>
      <c r="T21" s="101">
        <f t="shared" si="6"/>
        <v>482117.11290379055</v>
      </c>
      <c r="U21" s="102">
        <f t="shared" si="7"/>
        <v>0</v>
      </c>
      <c r="V21" s="103"/>
      <c r="W21" s="97">
        <f t="shared" si="8"/>
        <v>400</v>
      </c>
      <c r="X21" s="70">
        <f t="shared" si="9"/>
        <v>1423138.7754219796</v>
      </c>
      <c r="Y21" s="70">
        <f t="shared" si="10"/>
        <v>1905255.8883257702</v>
      </c>
      <c r="Z21" s="70">
        <f t="shared" si="21"/>
        <v>569.255510168792</v>
      </c>
      <c r="AA21" s="68">
        <f t="shared" si="22"/>
        <v>-482117.11290379055</v>
      </c>
      <c r="AB21" s="101">
        <f t="shared" si="23"/>
        <v>279558.2207361425</v>
      </c>
      <c r="AC21" s="104">
        <f t="shared" si="24"/>
        <v>-192.84684516151623</v>
      </c>
      <c r="AD21" s="104">
        <f t="shared" si="11"/>
        <v>12.052927822594764</v>
      </c>
      <c r="AE21" s="105">
        <f t="shared" si="12"/>
        <v>2.795582207361425</v>
      </c>
      <c r="AF21" s="105">
        <f t="shared" si="13"/>
        <v>8.386746622084274</v>
      </c>
      <c r="AG21" s="105">
        <f t="shared" si="25"/>
        <v>-169.61158850947575</v>
      </c>
      <c r="AH21" s="106">
        <f t="shared" si="26"/>
        <v>289.13578471062453</v>
      </c>
      <c r="AI21" s="95">
        <f t="shared" si="14"/>
        <v>4710.864215289375</v>
      </c>
      <c r="AK21" s="4">
        <f t="shared" si="15"/>
        <v>0</v>
      </c>
      <c r="AL21" s="4">
        <f t="shared" si="16"/>
        <v>0</v>
      </c>
      <c r="AM21" s="4">
        <f t="shared" si="17"/>
        <v>0</v>
      </c>
      <c r="AN21" s="4">
        <f t="shared" si="27"/>
        <v>1</v>
      </c>
      <c r="AO21" s="4">
        <f t="shared" si="28"/>
        <v>0</v>
      </c>
    </row>
    <row r="22" spans="2:41" ht="12.75">
      <c r="B22" s="72"/>
      <c r="C22" s="73"/>
      <c r="D22" s="112"/>
      <c r="E22" s="75"/>
      <c r="G22" s="10"/>
      <c r="H22" s="107">
        <f t="shared" si="29"/>
        <v>12</v>
      </c>
      <c r="I22" s="98">
        <f ca="1" t="shared" si="18"/>
        <v>-0.07423152995900269</v>
      </c>
      <c r="J22" s="99"/>
      <c r="K22" s="97">
        <f t="shared" si="0"/>
        <v>356.46061696763866</v>
      </c>
      <c r="L22" s="70">
        <f t="shared" si="1"/>
        <v>2018261.94240995</v>
      </c>
      <c r="M22" s="70">
        <f t="shared" si="2"/>
        <v>2018261.9424099538</v>
      </c>
      <c r="N22" s="100">
        <f t="shared" si="19"/>
        <v>719.4308971937556</v>
      </c>
      <c r="O22" s="28"/>
      <c r="P22" s="97">
        <f t="shared" si="3"/>
        <v>356.46061696763866</v>
      </c>
      <c r="Q22" s="70">
        <f t="shared" si="4"/>
        <v>2018261.94240995</v>
      </c>
      <c r="R22" s="70">
        <f t="shared" si="5"/>
        <v>2018261.9424099538</v>
      </c>
      <c r="S22" s="70">
        <f t="shared" si="20"/>
        <v>719.4308971937556</v>
      </c>
      <c r="T22" s="101">
        <f t="shared" si="6"/>
        <v>3.725290298461914E-09</v>
      </c>
      <c r="U22" s="102">
        <f t="shared" si="7"/>
        <v>0</v>
      </c>
      <c r="V22" s="103"/>
      <c r="W22" s="97">
        <f t="shared" si="8"/>
        <v>356.46061696763866</v>
      </c>
      <c r="X22" s="70">
        <f t="shared" si="9"/>
        <v>2018261.94240995</v>
      </c>
      <c r="Y22" s="70">
        <f t="shared" si="10"/>
        <v>2018261.9424099538</v>
      </c>
      <c r="Z22" s="70">
        <f t="shared" si="21"/>
        <v>719.4308971937556</v>
      </c>
      <c r="AA22" s="68">
        <f t="shared" si="22"/>
        <v>-3.725290298461914E-09</v>
      </c>
      <c r="AB22" s="101">
        <f t="shared" si="23"/>
        <v>279558.22073613876</v>
      </c>
      <c r="AC22" s="104">
        <f t="shared" si="24"/>
        <v>-1.3279192781732927E-12</v>
      </c>
      <c r="AD22" s="104">
        <f t="shared" si="11"/>
        <v>9.313225746154786E-14</v>
      </c>
      <c r="AE22" s="105">
        <f t="shared" si="12"/>
        <v>2.7955822073613876</v>
      </c>
      <c r="AF22" s="105">
        <f t="shared" si="13"/>
        <v>7.473862188148451</v>
      </c>
      <c r="AG22" s="105">
        <f t="shared" si="25"/>
        <v>10.269444395508604</v>
      </c>
      <c r="AH22" s="106">
        <f t="shared" si="26"/>
        <v>299.40522910613316</v>
      </c>
      <c r="AI22" s="95">
        <f t="shared" si="14"/>
        <v>4700.594770893867</v>
      </c>
      <c r="AK22" s="4">
        <f t="shared" si="15"/>
        <v>0</v>
      </c>
      <c r="AL22" s="4">
        <f t="shared" si="16"/>
        <v>0</v>
      </c>
      <c r="AM22" s="4">
        <f t="shared" si="17"/>
        <v>0</v>
      </c>
      <c r="AN22" s="4">
        <f t="shared" si="27"/>
        <v>1</v>
      </c>
      <c r="AO22" s="4">
        <f t="shared" si="28"/>
        <v>0</v>
      </c>
    </row>
    <row r="23" spans="2:41" ht="12.75">
      <c r="B23" s="17"/>
      <c r="C23" s="28"/>
      <c r="D23" s="28"/>
      <c r="E23" s="14"/>
      <c r="G23" s="10"/>
      <c r="H23" s="107">
        <f t="shared" si="29"/>
        <v>13</v>
      </c>
      <c r="I23" s="98">
        <f ca="1" t="shared" si="18"/>
        <v>0.11211808414332697</v>
      </c>
      <c r="J23" s="99"/>
      <c r="K23" s="97">
        <f t="shared" si="0"/>
        <v>296.73107982431765</v>
      </c>
      <c r="L23" s="70">
        <f t="shared" si="1"/>
        <v>2212084.8921844377</v>
      </c>
      <c r="M23" s="70">
        <f t="shared" si="2"/>
        <v>2212084.8921844414</v>
      </c>
      <c r="N23" s="100">
        <f t="shared" si="19"/>
        <v>656.3943387209475</v>
      </c>
      <c r="O23" s="28"/>
      <c r="P23" s="97">
        <f t="shared" si="3"/>
        <v>296.73107982431765</v>
      </c>
      <c r="Q23" s="70">
        <f t="shared" si="4"/>
        <v>2212084.8921844377</v>
      </c>
      <c r="R23" s="70">
        <f t="shared" si="5"/>
        <v>2212084.8921844414</v>
      </c>
      <c r="S23" s="70">
        <f t="shared" si="20"/>
        <v>656.3943387209475</v>
      </c>
      <c r="T23" s="101">
        <f t="shared" si="6"/>
        <v>3.725290298461914E-09</v>
      </c>
      <c r="U23" s="102">
        <f t="shared" si="7"/>
        <v>0</v>
      </c>
      <c r="V23" s="103"/>
      <c r="W23" s="97">
        <f t="shared" si="8"/>
        <v>300</v>
      </c>
      <c r="X23" s="70">
        <f t="shared" si="9"/>
        <v>2224236.1682866514</v>
      </c>
      <c r="Y23" s="70">
        <f t="shared" si="10"/>
        <v>2200000.0000000047</v>
      </c>
      <c r="Z23" s="70">
        <f t="shared" si="21"/>
        <v>667.2708504859954</v>
      </c>
      <c r="AA23" s="68">
        <f t="shared" si="22"/>
        <v>24236.168286646716</v>
      </c>
      <c r="AB23" s="101">
        <f t="shared" si="23"/>
        <v>303794.3890227855</v>
      </c>
      <c r="AC23" s="104">
        <f t="shared" si="24"/>
        <v>7.270850485994015</v>
      </c>
      <c r="AD23" s="104">
        <f t="shared" si="11"/>
        <v>0.6059042071661679</v>
      </c>
      <c r="AE23" s="105">
        <f t="shared" si="12"/>
        <v>3.037943890227855</v>
      </c>
      <c r="AF23" s="105">
        <f t="shared" si="13"/>
        <v>6.835373753012674</v>
      </c>
      <c r="AG23" s="105">
        <f t="shared" si="25"/>
        <v>17.750072336400713</v>
      </c>
      <c r="AH23" s="106">
        <f t="shared" si="26"/>
        <v>317.15530144253387</v>
      </c>
      <c r="AI23" s="95">
        <f t="shared" si="14"/>
        <v>4682.8446985574665</v>
      </c>
      <c r="AK23" s="4">
        <f t="shared" si="15"/>
        <v>0</v>
      </c>
      <c r="AL23" s="4">
        <f t="shared" si="16"/>
        <v>0</v>
      </c>
      <c r="AM23" s="4">
        <f t="shared" si="17"/>
        <v>0</v>
      </c>
      <c r="AN23" s="4">
        <f t="shared" si="27"/>
        <v>0</v>
      </c>
      <c r="AO23" s="4">
        <f t="shared" si="28"/>
        <v>1</v>
      </c>
    </row>
    <row r="24" spans="2:41" ht="12.75">
      <c r="B24" s="17" t="s">
        <v>25</v>
      </c>
      <c r="C24" s="28"/>
      <c r="D24" s="113">
        <f>Pw</f>
        <v>320</v>
      </c>
      <c r="E24" s="14" t="s">
        <v>16</v>
      </c>
      <c r="G24" s="10"/>
      <c r="H24" s="107">
        <f t="shared" si="29"/>
        <v>14</v>
      </c>
      <c r="I24" s="98">
        <f ca="1" t="shared" si="18"/>
        <v>0.09237238948880125</v>
      </c>
      <c r="J24" s="99"/>
      <c r="K24" s="97">
        <f t="shared" si="0"/>
        <v>302.0947830386224</v>
      </c>
      <c r="L24" s="70">
        <f t="shared" si="1"/>
        <v>2192359.1206165864</v>
      </c>
      <c r="M24" s="70">
        <f t="shared" si="2"/>
        <v>2192359.1206165864</v>
      </c>
      <c r="N24" s="100">
        <f t="shared" si="19"/>
        <v>662.3002528854125</v>
      </c>
      <c r="O24" s="28"/>
      <c r="P24" s="97">
        <f t="shared" si="3"/>
        <v>302.0947830386224</v>
      </c>
      <c r="Q24" s="70">
        <f t="shared" si="4"/>
        <v>2192359.1206165864</v>
      </c>
      <c r="R24" s="70">
        <f t="shared" si="5"/>
        <v>2192359.1206165864</v>
      </c>
      <c r="S24" s="70">
        <f t="shared" si="20"/>
        <v>662.3002528854125</v>
      </c>
      <c r="T24" s="101">
        <f t="shared" si="6"/>
        <v>0</v>
      </c>
      <c r="U24" s="102">
        <f t="shared" si="7"/>
        <v>0</v>
      </c>
      <c r="V24" s="103"/>
      <c r="W24" s="97">
        <f t="shared" si="8"/>
        <v>302.0947830386224</v>
      </c>
      <c r="X24" s="70">
        <f t="shared" si="9"/>
        <v>2192359.1206165864</v>
      </c>
      <c r="Y24" s="70">
        <f t="shared" si="10"/>
        <v>2192359.1206165864</v>
      </c>
      <c r="Z24" s="70">
        <f t="shared" si="21"/>
        <v>662.3002528854125</v>
      </c>
      <c r="AA24" s="68">
        <f t="shared" si="22"/>
        <v>0</v>
      </c>
      <c r="AB24" s="101">
        <f t="shared" si="23"/>
        <v>303794.3890227855</v>
      </c>
      <c r="AC24" s="104">
        <f t="shared" si="24"/>
        <v>0</v>
      </c>
      <c r="AD24" s="104">
        <f t="shared" si="11"/>
        <v>0</v>
      </c>
      <c r="AE24" s="105">
        <f t="shared" si="12"/>
        <v>3.037943890227855</v>
      </c>
      <c r="AF24" s="105">
        <f t="shared" si="13"/>
        <v>6.883102503014192</v>
      </c>
      <c r="AG24" s="105">
        <f t="shared" si="25"/>
        <v>9.921046393242047</v>
      </c>
      <c r="AH24" s="106">
        <f t="shared" si="26"/>
        <v>327.0763478357759</v>
      </c>
      <c r="AI24" s="95">
        <f t="shared" si="14"/>
        <v>4672.923652164224</v>
      </c>
      <c r="AK24" s="4">
        <f t="shared" si="15"/>
        <v>0</v>
      </c>
      <c r="AL24" s="4">
        <f t="shared" si="16"/>
        <v>0</v>
      </c>
      <c r="AM24" s="4">
        <f t="shared" si="17"/>
        <v>0</v>
      </c>
      <c r="AN24" s="4">
        <f t="shared" si="27"/>
        <v>0</v>
      </c>
      <c r="AO24" s="4">
        <f t="shared" si="28"/>
        <v>0</v>
      </c>
    </row>
    <row r="25" spans="2:41" ht="12.75">
      <c r="B25" s="17" t="s">
        <v>26</v>
      </c>
      <c r="C25" s="28"/>
      <c r="D25" s="113">
        <f>Pw*(1+Import_tariff)+Transfer_cost</f>
        <v>400</v>
      </c>
      <c r="E25" s="14" t="s">
        <v>16</v>
      </c>
      <c r="G25" s="10"/>
      <c r="H25" s="107">
        <f t="shared" si="29"/>
        <v>15</v>
      </c>
      <c r="I25" s="98">
        <f ca="1" t="shared" si="18"/>
        <v>-0.010537776517803646</v>
      </c>
      <c r="J25" s="99"/>
      <c r="K25" s="97">
        <f t="shared" si="0"/>
        <v>333.51450127993553</v>
      </c>
      <c r="L25" s="70">
        <f t="shared" si="1"/>
        <v>2086536.3124857624</v>
      </c>
      <c r="M25" s="70">
        <f t="shared" si="2"/>
        <v>2086536.3124857587</v>
      </c>
      <c r="N25" s="100">
        <f t="shared" si="19"/>
        <v>695.8901176611647</v>
      </c>
      <c r="O25" s="28"/>
      <c r="P25" s="97">
        <f t="shared" si="3"/>
        <v>333.51450127993553</v>
      </c>
      <c r="Q25" s="70">
        <f t="shared" si="4"/>
        <v>2086536.3124857624</v>
      </c>
      <c r="R25" s="70">
        <f t="shared" si="5"/>
        <v>2086536.3124857587</v>
      </c>
      <c r="S25" s="70">
        <f t="shared" si="20"/>
        <v>695.8901176611647</v>
      </c>
      <c r="T25" s="101">
        <f t="shared" si="6"/>
        <v>-3.725290298461914E-09</v>
      </c>
      <c r="U25" s="102">
        <f t="shared" si="7"/>
        <v>0</v>
      </c>
      <c r="V25" s="103"/>
      <c r="W25" s="97">
        <f t="shared" si="8"/>
        <v>333.51450127993553</v>
      </c>
      <c r="X25" s="70">
        <f t="shared" si="9"/>
        <v>2086536.3124857624</v>
      </c>
      <c r="Y25" s="70">
        <f t="shared" si="10"/>
        <v>2086536.3124857587</v>
      </c>
      <c r="Z25" s="70">
        <f t="shared" si="21"/>
        <v>695.8901176611647</v>
      </c>
      <c r="AA25" s="68">
        <f t="shared" si="22"/>
        <v>3.725290298461914E-09</v>
      </c>
      <c r="AB25" s="101">
        <f t="shared" si="23"/>
        <v>303794.3890227892</v>
      </c>
      <c r="AC25" s="104">
        <f t="shared" si="24"/>
        <v>1.2424383360145074E-12</v>
      </c>
      <c r="AD25" s="104">
        <f t="shared" si="11"/>
        <v>9.313225746154786E-14</v>
      </c>
      <c r="AE25" s="105">
        <f t="shared" si="12"/>
        <v>3.037943890227892</v>
      </c>
      <c r="AF25" s="105">
        <f t="shared" si="13"/>
        <v>7.598987560993371</v>
      </c>
      <c r="AG25" s="105">
        <f t="shared" si="25"/>
        <v>10.636931451222598</v>
      </c>
      <c r="AH25" s="106">
        <f t="shared" si="26"/>
        <v>337.7132792869985</v>
      </c>
      <c r="AI25" s="95">
        <f t="shared" si="14"/>
        <v>4662.286720713001</v>
      </c>
      <c r="AK25" s="4">
        <f t="shared" si="15"/>
        <v>0</v>
      </c>
      <c r="AL25" s="4">
        <f t="shared" si="16"/>
        <v>0</v>
      </c>
      <c r="AM25" s="4">
        <f t="shared" si="17"/>
        <v>0</v>
      </c>
      <c r="AN25" s="4">
        <f t="shared" si="27"/>
        <v>0</v>
      </c>
      <c r="AO25" s="4">
        <f t="shared" si="28"/>
        <v>1</v>
      </c>
    </row>
    <row r="26" spans="2:41" ht="12.75">
      <c r="B26" s="17" t="s">
        <v>27</v>
      </c>
      <c r="C26" s="28"/>
      <c r="D26" s="114">
        <f>Pw*(1-Export_tax)-Transfer_cost</f>
        <v>211.2</v>
      </c>
      <c r="E26" s="14" t="s">
        <v>16</v>
      </c>
      <c r="G26" s="10"/>
      <c r="H26" s="107">
        <f t="shared" si="29"/>
        <v>16</v>
      </c>
      <c r="I26" s="98">
        <f ca="1" t="shared" si="18"/>
        <v>-0.44662713466075327</v>
      </c>
      <c r="J26" s="99"/>
      <c r="K26" s="97">
        <f t="shared" si="0"/>
        <v>596.3429374110951</v>
      </c>
      <c r="L26" s="70">
        <f t="shared" si="1"/>
        <v>1560397.5799432283</v>
      </c>
      <c r="M26" s="70">
        <f t="shared" si="2"/>
        <v>1560397.579943231</v>
      </c>
      <c r="N26" s="100">
        <f t="shared" si="19"/>
        <v>930.5320763525089</v>
      </c>
      <c r="O26" s="28"/>
      <c r="P26" s="97">
        <f t="shared" si="3"/>
        <v>400</v>
      </c>
      <c r="Q26" s="70">
        <f t="shared" si="4"/>
        <v>1277959.8910633924</v>
      </c>
      <c r="R26" s="70">
        <f t="shared" si="5"/>
        <v>1905255.8883257702</v>
      </c>
      <c r="S26" s="70">
        <f t="shared" si="20"/>
        <v>511.183956425357</v>
      </c>
      <c r="T26" s="101">
        <f t="shared" si="6"/>
        <v>627295.9972623778</v>
      </c>
      <c r="U26" s="102">
        <f t="shared" si="7"/>
        <v>0</v>
      </c>
      <c r="V26" s="103"/>
      <c r="W26" s="97">
        <f t="shared" si="8"/>
        <v>400</v>
      </c>
      <c r="X26" s="70">
        <f t="shared" si="9"/>
        <v>1277959.8910633924</v>
      </c>
      <c r="Y26" s="70">
        <f t="shared" si="10"/>
        <v>1905255.8883257702</v>
      </c>
      <c r="Z26" s="70">
        <f t="shared" si="21"/>
        <v>511.183956425357</v>
      </c>
      <c r="AA26" s="68">
        <f t="shared" si="22"/>
        <v>-627295.9972623778</v>
      </c>
      <c r="AB26" s="101">
        <f t="shared" si="23"/>
        <v>-323501.60823958856</v>
      </c>
      <c r="AC26" s="104">
        <f t="shared" si="24"/>
        <v>-250.9183989049511</v>
      </c>
      <c r="AD26" s="104">
        <f t="shared" si="11"/>
        <v>15.682399931559443</v>
      </c>
      <c r="AE26" s="105">
        <f t="shared" si="12"/>
        <v>0</v>
      </c>
      <c r="AF26" s="105">
        <f t="shared" si="13"/>
        <v>0</v>
      </c>
      <c r="AG26" s="105">
        <f t="shared" si="25"/>
        <v>-235.23599897339164</v>
      </c>
      <c r="AH26" s="106">
        <f t="shared" si="26"/>
        <v>102.47728031360685</v>
      </c>
      <c r="AI26" s="95">
        <f t="shared" si="14"/>
        <v>4897.522719686393</v>
      </c>
      <c r="AK26" s="4">
        <f t="shared" si="15"/>
        <v>1</v>
      </c>
      <c r="AL26" s="4">
        <f t="shared" si="16"/>
        <v>0</v>
      </c>
      <c r="AM26" s="4">
        <f t="shared" si="17"/>
        <v>0</v>
      </c>
      <c r="AN26" s="4">
        <f t="shared" si="27"/>
        <v>1</v>
      </c>
      <c r="AO26" s="4">
        <f t="shared" si="28"/>
        <v>0</v>
      </c>
    </row>
    <row r="27" spans="2:41" ht="12.75">
      <c r="B27" s="17"/>
      <c r="C27" s="28"/>
      <c r="D27" s="6"/>
      <c r="E27" s="14"/>
      <c r="G27" s="10"/>
      <c r="H27" s="107">
        <f t="shared" si="29"/>
        <v>17</v>
      </c>
      <c r="I27" s="98">
        <f ca="1" t="shared" si="18"/>
        <v>0.09540243802820975</v>
      </c>
      <c r="J27" s="99"/>
      <c r="K27" s="97">
        <f t="shared" si="0"/>
        <v>301.2591432551681</v>
      </c>
      <c r="L27" s="70">
        <f t="shared" si="1"/>
        <v>2195397.62396795</v>
      </c>
      <c r="M27" s="70">
        <f t="shared" si="2"/>
        <v>2195397.62396795</v>
      </c>
      <c r="N27" s="100">
        <f t="shared" si="19"/>
        <v>661.3836073010165</v>
      </c>
      <c r="O27" s="28"/>
      <c r="P27" s="97">
        <f t="shared" si="3"/>
        <v>301.2591432551681</v>
      </c>
      <c r="Q27" s="70">
        <f t="shared" si="4"/>
        <v>2195397.62396795</v>
      </c>
      <c r="R27" s="70">
        <f t="shared" si="5"/>
        <v>2195397.62396795</v>
      </c>
      <c r="S27" s="70">
        <f t="shared" si="20"/>
        <v>661.3836073010165</v>
      </c>
      <c r="T27" s="101">
        <f t="shared" si="6"/>
        <v>0</v>
      </c>
      <c r="U27" s="102">
        <f t="shared" si="7"/>
        <v>0</v>
      </c>
      <c r="V27" s="103"/>
      <c r="W27" s="97">
        <f t="shared" si="8"/>
        <v>301.2591432551681</v>
      </c>
      <c r="X27" s="70">
        <f t="shared" si="9"/>
        <v>2195397.62396795</v>
      </c>
      <c r="Y27" s="70">
        <f t="shared" si="10"/>
        <v>2195397.62396795</v>
      </c>
      <c r="Z27" s="70">
        <f t="shared" si="21"/>
        <v>661.3836073010165</v>
      </c>
      <c r="AA27" s="68">
        <f t="shared" si="22"/>
        <v>0</v>
      </c>
      <c r="AB27" s="101">
        <f t="shared" si="23"/>
        <v>-323501.60823958856</v>
      </c>
      <c r="AC27" s="104">
        <f t="shared" si="24"/>
        <v>0</v>
      </c>
      <c r="AD27" s="104">
        <f t="shared" si="11"/>
        <v>0</v>
      </c>
      <c r="AE27" s="105">
        <f t="shared" si="12"/>
        <v>0</v>
      </c>
      <c r="AF27" s="105">
        <f t="shared" si="13"/>
        <v>0</v>
      </c>
      <c r="AG27" s="105">
        <f t="shared" si="25"/>
        <v>0</v>
      </c>
      <c r="AH27" s="106">
        <f t="shared" si="26"/>
        <v>102.47728031360685</v>
      </c>
      <c r="AI27" s="95">
        <f t="shared" si="14"/>
        <v>4897.522719686393</v>
      </c>
      <c r="AK27" s="4">
        <f t="shared" si="15"/>
        <v>1</v>
      </c>
      <c r="AL27" s="4">
        <f t="shared" si="16"/>
        <v>0</v>
      </c>
      <c r="AM27" s="4">
        <f t="shared" si="17"/>
        <v>0</v>
      </c>
      <c r="AN27" s="4">
        <f t="shared" si="27"/>
        <v>0</v>
      </c>
      <c r="AO27" s="4">
        <f t="shared" si="28"/>
        <v>0</v>
      </c>
    </row>
    <row r="28" spans="2:41" ht="12.75">
      <c r="B28" s="17"/>
      <c r="C28" s="28"/>
      <c r="D28" s="70"/>
      <c r="E28" s="14"/>
      <c r="G28" s="10"/>
      <c r="H28" s="107">
        <f t="shared" si="29"/>
        <v>18</v>
      </c>
      <c r="I28" s="98">
        <f ca="1" t="shared" si="18"/>
        <v>0.012280704566697435</v>
      </c>
      <c r="J28" s="99"/>
      <c r="K28" s="97">
        <f t="shared" si="0"/>
        <v>325.99653288981324</v>
      </c>
      <c r="L28" s="70">
        <f t="shared" si="1"/>
        <v>2110458.504707798</v>
      </c>
      <c r="M28" s="70">
        <f t="shared" si="2"/>
        <v>2110458.504707798</v>
      </c>
      <c r="N28" s="100">
        <f t="shared" si="19"/>
        <v>688.0021553425618</v>
      </c>
      <c r="O28" s="28"/>
      <c r="P28" s="97">
        <f t="shared" si="3"/>
        <v>325.99653288981324</v>
      </c>
      <c r="Q28" s="70">
        <f t="shared" si="4"/>
        <v>2110458.504707798</v>
      </c>
      <c r="R28" s="70">
        <f t="shared" si="5"/>
        <v>2110458.504707798</v>
      </c>
      <c r="S28" s="70">
        <f t="shared" si="20"/>
        <v>688.0021553425618</v>
      </c>
      <c r="T28" s="101">
        <f t="shared" si="6"/>
        <v>0</v>
      </c>
      <c r="U28" s="102">
        <f t="shared" si="7"/>
        <v>0</v>
      </c>
      <c r="V28" s="103"/>
      <c r="W28" s="97">
        <f t="shared" si="8"/>
        <v>325.99653288981324</v>
      </c>
      <c r="X28" s="70">
        <f t="shared" si="9"/>
        <v>2110458.504707798</v>
      </c>
      <c r="Y28" s="70">
        <f t="shared" si="10"/>
        <v>2110458.504707798</v>
      </c>
      <c r="Z28" s="70">
        <f t="shared" si="21"/>
        <v>688.0021553425618</v>
      </c>
      <c r="AA28" s="68">
        <f t="shared" si="22"/>
        <v>0</v>
      </c>
      <c r="AB28" s="101">
        <f t="shared" si="23"/>
        <v>-323501.60823958856</v>
      </c>
      <c r="AC28" s="104">
        <f t="shared" si="24"/>
        <v>0</v>
      </c>
      <c r="AD28" s="104">
        <f t="shared" si="11"/>
        <v>0</v>
      </c>
      <c r="AE28" s="105">
        <f t="shared" si="12"/>
        <v>0</v>
      </c>
      <c r="AF28" s="105">
        <f t="shared" si="13"/>
        <v>0</v>
      </c>
      <c r="AG28" s="105">
        <f t="shared" si="25"/>
        <v>0</v>
      </c>
      <c r="AH28" s="106">
        <f t="shared" si="26"/>
        <v>102.47728031360685</v>
      </c>
      <c r="AI28" s="95">
        <f t="shared" si="14"/>
        <v>4897.522719686393</v>
      </c>
      <c r="AK28" s="4">
        <f t="shared" si="15"/>
        <v>1</v>
      </c>
      <c r="AL28" s="4">
        <f t="shared" si="16"/>
        <v>0</v>
      </c>
      <c r="AM28" s="4">
        <f t="shared" si="17"/>
        <v>0</v>
      </c>
      <c r="AN28" s="4">
        <f t="shared" si="27"/>
        <v>0</v>
      </c>
      <c r="AO28" s="4">
        <f t="shared" si="28"/>
        <v>0</v>
      </c>
    </row>
    <row r="29" spans="2:41" ht="12.75">
      <c r="B29" s="115"/>
      <c r="C29" s="28"/>
      <c r="D29" s="70"/>
      <c r="E29" s="14"/>
      <c r="G29" s="10"/>
      <c r="H29" s="107">
        <f t="shared" si="29"/>
        <v>19</v>
      </c>
      <c r="I29" s="98">
        <f ca="1" t="shared" si="18"/>
        <v>-0.22071016260190768</v>
      </c>
      <c r="J29" s="99"/>
      <c r="K29" s="97">
        <f t="shared" si="0"/>
        <v>423.46247078213054</v>
      </c>
      <c r="L29" s="70">
        <f t="shared" si="1"/>
        <v>1851722.2482196451</v>
      </c>
      <c r="M29" s="70">
        <f t="shared" si="2"/>
        <v>1851722.2482196451</v>
      </c>
      <c r="N29" s="100">
        <f t="shared" si="19"/>
        <v>784.1348784333326</v>
      </c>
      <c r="O29" s="28"/>
      <c r="P29" s="97">
        <f t="shared" si="3"/>
        <v>400</v>
      </c>
      <c r="Q29" s="70">
        <f t="shared" si="4"/>
        <v>1799692.789594111</v>
      </c>
      <c r="R29" s="70">
        <f t="shared" si="5"/>
        <v>1905255.8883257702</v>
      </c>
      <c r="S29" s="70">
        <f t="shared" si="20"/>
        <v>719.8771158376445</v>
      </c>
      <c r="T29" s="101">
        <f t="shared" si="6"/>
        <v>105563.09873165912</v>
      </c>
      <c r="U29" s="102">
        <f t="shared" si="7"/>
        <v>0</v>
      </c>
      <c r="V29" s="103"/>
      <c r="W29" s="97">
        <f t="shared" si="8"/>
        <v>400</v>
      </c>
      <c r="X29" s="70">
        <f t="shared" si="9"/>
        <v>1799692.789594111</v>
      </c>
      <c r="Y29" s="70">
        <f t="shared" si="10"/>
        <v>1905255.8883257702</v>
      </c>
      <c r="Z29" s="70">
        <f t="shared" si="21"/>
        <v>719.8771158376445</v>
      </c>
      <c r="AA29" s="68">
        <f t="shared" si="22"/>
        <v>-105563.09873165912</v>
      </c>
      <c r="AB29" s="101">
        <f t="shared" si="23"/>
        <v>-429064.7069712477</v>
      </c>
      <c r="AC29" s="104">
        <f t="shared" si="24"/>
        <v>-42.225239492663654</v>
      </c>
      <c r="AD29" s="104">
        <f t="shared" si="11"/>
        <v>2.6390774682914784</v>
      </c>
      <c r="AE29" s="105">
        <f t="shared" si="12"/>
        <v>0</v>
      </c>
      <c r="AF29" s="105">
        <f t="shared" si="13"/>
        <v>0</v>
      </c>
      <c r="AG29" s="105">
        <f t="shared" si="25"/>
        <v>-39.58616202437218</v>
      </c>
      <c r="AH29" s="106">
        <f t="shared" si="26"/>
        <v>62.891118289234676</v>
      </c>
      <c r="AI29" s="95">
        <f t="shared" si="14"/>
        <v>4937.108881710766</v>
      </c>
      <c r="AK29" s="4">
        <f t="shared" si="15"/>
        <v>1</v>
      </c>
      <c r="AL29" s="4">
        <f t="shared" si="16"/>
        <v>0</v>
      </c>
      <c r="AM29" s="4">
        <f t="shared" si="17"/>
        <v>0</v>
      </c>
      <c r="AN29" s="4">
        <f t="shared" si="27"/>
        <v>1</v>
      </c>
      <c r="AO29" s="4">
        <f t="shared" si="28"/>
        <v>0</v>
      </c>
    </row>
    <row r="30" spans="2:41" ht="12.75">
      <c r="B30" s="13"/>
      <c r="C30" s="31"/>
      <c r="D30" s="116"/>
      <c r="E30" s="15"/>
      <c r="G30" s="10"/>
      <c r="H30" s="107">
        <f t="shared" si="29"/>
        <v>20</v>
      </c>
      <c r="I30" s="98">
        <f ca="1" t="shared" si="18"/>
        <v>0.2510630763408085</v>
      </c>
      <c r="J30" s="99"/>
      <c r="K30" s="97">
        <f t="shared" si="0"/>
        <v>263.77566906155243</v>
      </c>
      <c r="L30" s="70">
        <f t="shared" si="1"/>
        <v>2346204.921974968</v>
      </c>
      <c r="M30" s="70">
        <f t="shared" si="2"/>
        <v>2346204.921974968</v>
      </c>
      <c r="N30" s="100">
        <f t="shared" si="19"/>
        <v>618.8717730494546</v>
      </c>
      <c r="O30" s="28"/>
      <c r="P30" s="97">
        <f t="shared" si="3"/>
        <v>263.77566906155243</v>
      </c>
      <c r="Q30" s="70">
        <f t="shared" si="4"/>
        <v>2346204.921974968</v>
      </c>
      <c r="R30" s="70">
        <f t="shared" si="5"/>
        <v>2346204.921974968</v>
      </c>
      <c r="S30" s="70">
        <f t="shared" si="20"/>
        <v>618.8717730494546</v>
      </c>
      <c r="T30" s="101">
        <f t="shared" si="6"/>
        <v>0</v>
      </c>
      <c r="U30" s="102">
        <f t="shared" si="7"/>
        <v>0</v>
      </c>
      <c r="V30" s="103"/>
      <c r="W30" s="97">
        <f t="shared" si="8"/>
        <v>300</v>
      </c>
      <c r="X30" s="70">
        <f t="shared" si="9"/>
        <v>2502126.1526816157</v>
      </c>
      <c r="Y30" s="70">
        <f t="shared" si="10"/>
        <v>2200000.0000000047</v>
      </c>
      <c r="Z30" s="70">
        <f t="shared" si="21"/>
        <v>750.6378458044848</v>
      </c>
      <c r="AA30" s="68">
        <f t="shared" si="22"/>
        <v>302126.152681611</v>
      </c>
      <c r="AB30" s="101">
        <f t="shared" si="23"/>
        <v>-126938.55428963667</v>
      </c>
      <c r="AC30" s="104">
        <f t="shared" si="24"/>
        <v>90.6378458044833</v>
      </c>
      <c r="AD30" s="104">
        <f t="shared" si="11"/>
        <v>7.553153817040275</v>
      </c>
      <c r="AE30" s="105">
        <f t="shared" si="12"/>
        <v>0</v>
      </c>
      <c r="AF30" s="105">
        <f t="shared" si="13"/>
        <v>0</v>
      </c>
      <c r="AG30" s="105">
        <f t="shared" si="25"/>
        <v>98.19099962152359</v>
      </c>
      <c r="AH30" s="106">
        <f t="shared" si="26"/>
        <v>161.08211791075826</v>
      </c>
      <c r="AI30" s="95">
        <f t="shared" si="14"/>
        <v>4838.917882089242</v>
      </c>
      <c r="AK30" s="4">
        <f t="shared" si="15"/>
        <v>1</v>
      </c>
      <c r="AL30" s="4">
        <f t="shared" si="16"/>
        <v>0</v>
      </c>
      <c r="AM30" s="4">
        <f t="shared" si="17"/>
        <v>0</v>
      </c>
      <c r="AN30" s="4">
        <f t="shared" si="27"/>
        <v>0</v>
      </c>
      <c r="AO30" s="4">
        <f t="shared" si="28"/>
        <v>1</v>
      </c>
    </row>
    <row r="31" spans="6:41" ht="12.75">
      <c r="F31" s="10"/>
      <c r="G31" s="10"/>
      <c r="H31" s="107">
        <f t="shared" si="29"/>
        <v>21</v>
      </c>
      <c r="I31" s="98">
        <f ca="1" t="shared" si="18"/>
        <v>-0.5</v>
      </c>
      <c r="J31" s="99"/>
      <c r="K31" s="97">
        <f t="shared" si="0"/>
        <v>660.0000000000017</v>
      </c>
      <c r="L31" s="70">
        <f t="shared" si="1"/>
        <v>1483239.697419134</v>
      </c>
      <c r="M31" s="70">
        <f t="shared" si="2"/>
        <v>1483239.697419134</v>
      </c>
      <c r="N31" s="100">
        <f t="shared" si="19"/>
        <v>978.938200296631</v>
      </c>
      <c r="O31" s="28"/>
      <c r="P31" s="97">
        <f t="shared" si="3"/>
        <v>400</v>
      </c>
      <c r="Q31" s="70">
        <f t="shared" si="4"/>
        <v>1154700.5383792503</v>
      </c>
      <c r="R31" s="70">
        <f t="shared" si="5"/>
        <v>1905255.8883257702</v>
      </c>
      <c r="S31" s="70">
        <f t="shared" si="20"/>
        <v>461.88021535170014</v>
      </c>
      <c r="T31" s="101">
        <f t="shared" si="6"/>
        <v>750555.3499465198</v>
      </c>
      <c r="U31" s="102">
        <f t="shared" si="7"/>
        <v>0</v>
      </c>
      <c r="V31" s="103"/>
      <c r="W31" s="97">
        <f t="shared" si="8"/>
        <v>400</v>
      </c>
      <c r="X31" s="70">
        <f t="shared" si="9"/>
        <v>1154700.5383792503</v>
      </c>
      <c r="Y31" s="70">
        <f t="shared" si="10"/>
        <v>1905255.8883257702</v>
      </c>
      <c r="Z31" s="70">
        <f t="shared" si="21"/>
        <v>461.88021535170014</v>
      </c>
      <c r="AA31" s="68">
        <f t="shared" si="22"/>
        <v>-750555.3499465198</v>
      </c>
      <c r="AB31" s="101">
        <f t="shared" si="23"/>
        <v>-877493.9042361565</v>
      </c>
      <c r="AC31" s="104">
        <f t="shared" si="24"/>
        <v>-300.22213997860797</v>
      </c>
      <c r="AD31" s="104">
        <f t="shared" si="11"/>
        <v>18.763883748662998</v>
      </c>
      <c r="AE31" s="105">
        <f t="shared" si="12"/>
        <v>0</v>
      </c>
      <c r="AF31" s="105">
        <f t="shared" si="13"/>
        <v>0</v>
      </c>
      <c r="AG31" s="105">
        <f t="shared" si="25"/>
        <v>-281.458256229945</v>
      </c>
      <c r="AH31" s="106">
        <f t="shared" si="26"/>
        <v>-120.37613831918674</v>
      </c>
      <c r="AI31" s="95">
        <f t="shared" si="14"/>
        <v>5120.376138319187</v>
      </c>
      <c r="AK31" s="4">
        <f t="shared" si="15"/>
        <v>1</v>
      </c>
      <c r="AL31" s="4">
        <f t="shared" si="16"/>
        <v>0</v>
      </c>
      <c r="AM31" s="4">
        <f t="shared" si="17"/>
        <v>0</v>
      </c>
      <c r="AN31" s="4">
        <f t="shared" si="27"/>
        <v>1</v>
      </c>
      <c r="AO31" s="4">
        <f t="shared" si="28"/>
        <v>0</v>
      </c>
    </row>
    <row r="32" spans="2:41" ht="12.75">
      <c r="B32" s="10"/>
      <c r="C32" s="10"/>
      <c r="D32" s="10"/>
      <c r="E32" s="10"/>
      <c r="F32" s="10"/>
      <c r="G32" s="10"/>
      <c r="H32" s="107">
        <f t="shared" si="29"/>
        <v>22</v>
      </c>
      <c r="I32" s="98">
        <f ca="1" t="shared" si="18"/>
        <v>0.3214238371460476</v>
      </c>
      <c r="J32" s="99"/>
      <c r="K32" s="97">
        <f t="shared" si="0"/>
        <v>249.73062443971057</v>
      </c>
      <c r="L32" s="70">
        <f t="shared" si="1"/>
        <v>2411278.6822436387</v>
      </c>
      <c r="M32" s="70">
        <f t="shared" si="2"/>
        <v>2411278.6822436387</v>
      </c>
      <c r="N32" s="100">
        <f t="shared" si="19"/>
        <v>602.1701310148663</v>
      </c>
      <c r="O32" s="28"/>
      <c r="P32" s="97">
        <f t="shared" si="3"/>
        <v>249.73062443971057</v>
      </c>
      <c r="Q32" s="70">
        <f t="shared" si="4"/>
        <v>2411278.6822436387</v>
      </c>
      <c r="R32" s="70">
        <f t="shared" si="5"/>
        <v>2411278.6822436387</v>
      </c>
      <c r="S32" s="70">
        <f t="shared" si="20"/>
        <v>602.1701310148663</v>
      </c>
      <c r="T32" s="101">
        <f t="shared" si="6"/>
        <v>0</v>
      </c>
      <c r="U32" s="102">
        <f t="shared" si="7"/>
        <v>0</v>
      </c>
      <c r="V32" s="103"/>
      <c r="W32" s="97">
        <f t="shared" si="8"/>
        <v>300</v>
      </c>
      <c r="X32" s="70">
        <f t="shared" si="9"/>
        <v>2642847.6742920936</v>
      </c>
      <c r="Y32" s="70">
        <f t="shared" si="10"/>
        <v>2200000.0000000047</v>
      </c>
      <c r="Z32" s="70">
        <f t="shared" si="21"/>
        <v>792.854302287628</v>
      </c>
      <c r="AA32" s="68">
        <f t="shared" si="22"/>
        <v>442847.67429208895</v>
      </c>
      <c r="AB32" s="101">
        <f t="shared" si="23"/>
        <v>-434646.22994406754</v>
      </c>
      <c r="AC32" s="104">
        <f t="shared" si="24"/>
        <v>132.8543022876267</v>
      </c>
      <c r="AD32" s="104">
        <f t="shared" si="11"/>
        <v>11.071191857302225</v>
      </c>
      <c r="AE32" s="105">
        <f t="shared" si="12"/>
        <v>0</v>
      </c>
      <c r="AF32" s="105">
        <f t="shared" si="13"/>
        <v>0</v>
      </c>
      <c r="AG32" s="105">
        <f t="shared" si="25"/>
        <v>143.9254941449289</v>
      </c>
      <c r="AH32" s="106">
        <f t="shared" si="26"/>
        <v>23.54935582574217</v>
      </c>
      <c r="AI32" s="95">
        <f t="shared" si="14"/>
        <v>4976.450644174258</v>
      </c>
      <c r="AK32" s="4">
        <f t="shared" si="15"/>
        <v>1</v>
      </c>
      <c r="AL32" s="4">
        <f t="shared" si="16"/>
        <v>0</v>
      </c>
      <c r="AM32" s="4">
        <f t="shared" si="17"/>
        <v>0</v>
      </c>
      <c r="AN32" s="4">
        <f t="shared" si="27"/>
        <v>0</v>
      </c>
      <c r="AO32" s="4">
        <f t="shared" si="28"/>
        <v>1</v>
      </c>
    </row>
    <row r="33" spans="2:41" ht="12.75">
      <c r="B33" s="10"/>
      <c r="C33" s="10"/>
      <c r="D33" s="10"/>
      <c r="E33" s="10"/>
      <c r="F33" s="10"/>
      <c r="G33" s="10"/>
      <c r="H33" s="107">
        <f t="shared" si="29"/>
        <v>23</v>
      </c>
      <c r="I33" s="98">
        <f ca="1" t="shared" si="18"/>
        <v>0.26424744615331064</v>
      </c>
      <c r="J33" s="99"/>
      <c r="K33" s="97">
        <f t="shared" si="0"/>
        <v>261.02485000391533</v>
      </c>
      <c r="L33" s="70">
        <f t="shared" si="1"/>
        <v>2358535.300366432</v>
      </c>
      <c r="M33" s="70">
        <f t="shared" si="2"/>
        <v>2358535.300366432</v>
      </c>
      <c r="N33" s="100">
        <f t="shared" si="19"/>
        <v>615.6363230070873</v>
      </c>
      <c r="O33" s="28"/>
      <c r="P33" s="97">
        <f t="shared" si="3"/>
        <v>261.02485000391533</v>
      </c>
      <c r="Q33" s="70">
        <f t="shared" si="4"/>
        <v>2358535.300366432</v>
      </c>
      <c r="R33" s="70">
        <f t="shared" si="5"/>
        <v>2358535.300366432</v>
      </c>
      <c r="S33" s="70">
        <f t="shared" si="20"/>
        <v>615.6363230070873</v>
      </c>
      <c r="T33" s="101">
        <f t="shared" si="6"/>
        <v>0</v>
      </c>
      <c r="U33" s="102">
        <f t="shared" si="7"/>
        <v>0</v>
      </c>
      <c r="V33" s="103"/>
      <c r="W33" s="97">
        <f t="shared" si="8"/>
        <v>300</v>
      </c>
      <c r="X33" s="70">
        <f t="shared" si="9"/>
        <v>2528494.8923066193</v>
      </c>
      <c r="Y33" s="70">
        <f t="shared" si="10"/>
        <v>2200000.0000000047</v>
      </c>
      <c r="Z33" s="70">
        <f t="shared" si="21"/>
        <v>758.5484676919858</v>
      </c>
      <c r="AA33" s="68">
        <f t="shared" si="22"/>
        <v>328494.89230661467</v>
      </c>
      <c r="AB33" s="101">
        <f t="shared" si="23"/>
        <v>-106151.33763745287</v>
      </c>
      <c r="AC33" s="104">
        <f t="shared" si="24"/>
        <v>98.5484676919844</v>
      </c>
      <c r="AD33" s="104">
        <f t="shared" si="11"/>
        <v>8.212372307665367</v>
      </c>
      <c r="AE33" s="105">
        <f t="shared" si="12"/>
        <v>0</v>
      </c>
      <c r="AF33" s="105">
        <f t="shared" si="13"/>
        <v>0</v>
      </c>
      <c r="AG33" s="105">
        <f t="shared" si="25"/>
        <v>106.76083999964976</v>
      </c>
      <c r="AH33" s="106">
        <f t="shared" si="26"/>
        <v>130.31019582539193</v>
      </c>
      <c r="AI33" s="95">
        <f t="shared" si="14"/>
        <v>4869.689804174608</v>
      </c>
      <c r="AK33" s="4">
        <f t="shared" si="15"/>
        <v>1</v>
      </c>
      <c r="AL33" s="4">
        <f t="shared" si="16"/>
        <v>0</v>
      </c>
      <c r="AM33" s="4">
        <f t="shared" si="17"/>
        <v>0</v>
      </c>
      <c r="AN33" s="4">
        <f t="shared" si="27"/>
        <v>0</v>
      </c>
      <c r="AO33" s="4">
        <f t="shared" si="28"/>
        <v>1</v>
      </c>
    </row>
    <row r="34" spans="2:41" ht="12.75">
      <c r="B34" s="10"/>
      <c r="C34" s="10"/>
      <c r="D34" s="10"/>
      <c r="E34" s="10"/>
      <c r="F34" s="10"/>
      <c r="G34" s="10"/>
      <c r="H34" s="107">
        <f t="shared" si="29"/>
        <v>24</v>
      </c>
      <c r="I34" s="98">
        <f ca="1" t="shared" si="18"/>
        <v>0.04780235025904793</v>
      </c>
      <c r="J34" s="99"/>
      <c r="K34" s="97">
        <f t="shared" si="0"/>
        <v>314.944893870886</v>
      </c>
      <c r="L34" s="70">
        <f t="shared" si="1"/>
        <v>2147167.98158407</v>
      </c>
      <c r="M34" s="70">
        <f t="shared" si="2"/>
        <v>2147167.9815840735</v>
      </c>
      <c r="N34" s="100">
        <f t="shared" si="19"/>
        <v>676.2395920829595</v>
      </c>
      <c r="O34" s="28"/>
      <c r="P34" s="97">
        <f t="shared" si="3"/>
        <v>314.944893870886</v>
      </c>
      <c r="Q34" s="70">
        <f t="shared" si="4"/>
        <v>2147167.98158407</v>
      </c>
      <c r="R34" s="70">
        <f t="shared" si="5"/>
        <v>2147167.9815840735</v>
      </c>
      <c r="S34" s="70">
        <f t="shared" si="20"/>
        <v>676.2395920829595</v>
      </c>
      <c r="T34" s="101">
        <f t="shared" si="6"/>
        <v>3.725290298461914E-09</v>
      </c>
      <c r="U34" s="102">
        <f t="shared" si="7"/>
        <v>0</v>
      </c>
      <c r="V34" s="103"/>
      <c r="W34" s="97">
        <f t="shared" si="8"/>
        <v>314.944893870886</v>
      </c>
      <c r="X34" s="70">
        <f t="shared" si="9"/>
        <v>2147167.98158407</v>
      </c>
      <c r="Y34" s="70">
        <f t="shared" si="10"/>
        <v>2147167.9815840735</v>
      </c>
      <c r="Z34" s="70">
        <f t="shared" si="21"/>
        <v>676.2395920829595</v>
      </c>
      <c r="AA34" s="68">
        <f t="shared" si="22"/>
        <v>-3.725290298461914E-09</v>
      </c>
      <c r="AB34" s="101">
        <f t="shared" si="23"/>
        <v>-106151.3376374566</v>
      </c>
      <c r="AC34" s="104">
        <f t="shared" si="24"/>
        <v>-1.1732611576873288E-12</v>
      </c>
      <c r="AD34" s="104">
        <f t="shared" si="11"/>
        <v>9.313225746154786E-14</v>
      </c>
      <c r="AE34" s="105">
        <f t="shared" si="12"/>
        <v>0</v>
      </c>
      <c r="AF34" s="105">
        <f t="shared" si="13"/>
        <v>0</v>
      </c>
      <c r="AG34" s="105">
        <f t="shared" si="25"/>
        <v>-1.0801289002257809E-12</v>
      </c>
      <c r="AH34" s="106">
        <f t="shared" si="26"/>
        <v>130.31019582539085</v>
      </c>
      <c r="AI34" s="95">
        <f t="shared" si="14"/>
        <v>4869.689804174609</v>
      </c>
      <c r="AK34" s="4">
        <f t="shared" si="15"/>
        <v>1</v>
      </c>
      <c r="AL34" s="4">
        <f t="shared" si="16"/>
        <v>0</v>
      </c>
      <c r="AM34" s="4">
        <f t="shared" si="17"/>
        <v>0</v>
      </c>
      <c r="AN34" s="4">
        <f t="shared" si="27"/>
        <v>1</v>
      </c>
      <c r="AO34" s="4">
        <f t="shared" si="28"/>
        <v>0</v>
      </c>
    </row>
    <row r="35" spans="2:41" ht="12.75">
      <c r="B35" s="10"/>
      <c r="C35" s="10"/>
      <c r="D35" s="10"/>
      <c r="E35" s="10"/>
      <c r="F35" s="10"/>
      <c r="G35" s="10"/>
      <c r="H35" s="107">
        <f t="shared" si="29"/>
        <v>25</v>
      </c>
      <c r="I35" s="98">
        <f ca="1" t="shared" si="18"/>
        <v>0.3431012224464445</v>
      </c>
      <c r="J35" s="99"/>
      <c r="K35" s="97">
        <f t="shared" si="0"/>
        <v>245.70002207198462</v>
      </c>
      <c r="L35" s="70">
        <f t="shared" si="1"/>
        <v>2430976.219292235</v>
      </c>
      <c r="M35" s="70">
        <f t="shared" si="2"/>
        <v>2430976.219292235</v>
      </c>
      <c r="N35" s="100">
        <f t="shared" si="19"/>
        <v>597.290910736572</v>
      </c>
      <c r="O35" s="28"/>
      <c r="P35" s="97">
        <f t="shared" si="3"/>
        <v>245.70002207198462</v>
      </c>
      <c r="Q35" s="70">
        <f t="shared" si="4"/>
        <v>2430976.219292235</v>
      </c>
      <c r="R35" s="70">
        <f t="shared" si="5"/>
        <v>2430976.219292235</v>
      </c>
      <c r="S35" s="70">
        <f t="shared" si="20"/>
        <v>597.290910736572</v>
      </c>
      <c r="T35" s="101">
        <f t="shared" si="6"/>
        <v>0</v>
      </c>
      <c r="U35" s="102">
        <f t="shared" si="7"/>
        <v>0</v>
      </c>
      <c r="V35" s="103"/>
      <c r="W35" s="97">
        <f t="shared" si="8"/>
        <v>300</v>
      </c>
      <c r="X35" s="70">
        <f t="shared" si="9"/>
        <v>2686202.4448928894</v>
      </c>
      <c r="Y35" s="70">
        <f t="shared" si="10"/>
        <v>2200000.0000000047</v>
      </c>
      <c r="Z35" s="70">
        <f t="shared" si="21"/>
        <v>805.8607334678668</v>
      </c>
      <c r="AA35" s="68">
        <f t="shared" si="22"/>
        <v>486202.4448928847</v>
      </c>
      <c r="AB35" s="101">
        <f t="shared" si="23"/>
        <v>380051.1072554281</v>
      </c>
      <c r="AC35" s="104">
        <f t="shared" si="24"/>
        <v>145.8607334678654</v>
      </c>
      <c r="AD35" s="104">
        <f t="shared" si="11"/>
        <v>12.155061122322119</v>
      </c>
      <c r="AE35" s="105">
        <f t="shared" si="12"/>
        <v>3.800511072554281</v>
      </c>
      <c r="AF35" s="105">
        <f t="shared" si="13"/>
        <v>8.551149913247132</v>
      </c>
      <c r="AG35" s="105">
        <f t="shared" si="25"/>
        <v>170.36745557598894</v>
      </c>
      <c r="AH35" s="106">
        <f t="shared" si="26"/>
        <v>300.67765140137976</v>
      </c>
      <c r="AI35" s="95">
        <f t="shared" si="14"/>
        <v>4699.32234859862</v>
      </c>
      <c r="AK35" s="4">
        <f t="shared" si="15"/>
        <v>0</v>
      </c>
      <c r="AL35" s="4">
        <f t="shared" si="16"/>
        <v>0</v>
      </c>
      <c r="AM35" s="4">
        <f t="shared" si="17"/>
        <v>0</v>
      </c>
      <c r="AN35" s="4">
        <f t="shared" si="27"/>
        <v>0</v>
      </c>
      <c r="AO35" s="4">
        <f t="shared" si="28"/>
        <v>1</v>
      </c>
    </row>
    <row r="36" spans="2:41" ht="12.75">
      <c r="B36" s="10"/>
      <c r="C36" s="10"/>
      <c r="D36" s="10"/>
      <c r="E36" s="10"/>
      <c r="F36" s="10"/>
      <c r="G36" s="10"/>
      <c r="H36" s="107">
        <f t="shared" si="29"/>
        <v>26</v>
      </c>
      <c r="I36" s="98">
        <f ca="1" t="shared" si="18"/>
        <v>0.22858059087982874</v>
      </c>
      <c r="J36" s="99"/>
      <c r="K36" s="97">
        <f t="shared" si="0"/>
        <v>268.60264800673485</v>
      </c>
      <c r="L36" s="70">
        <f t="shared" si="1"/>
        <v>2325027.870773008</v>
      </c>
      <c r="M36" s="70">
        <f t="shared" si="2"/>
        <v>2325027.870773004</v>
      </c>
      <c r="N36" s="100">
        <f t="shared" si="19"/>
        <v>624.5086427790906</v>
      </c>
      <c r="O36" s="28"/>
      <c r="P36" s="97">
        <f t="shared" si="3"/>
        <v>268.60264800673485</v>
      </c>
      <c r="Q36" s="70">
        <f t="shared" si="4"/>
        <v>2325027.870773008</v>
      </c>
      <c r="R36" s="70">
        <f t="shared" si="5"/>
        <v>2325027.870773004</v>
      </c>
      <c r="S36" s="70">
        <f t="shared" si="20"/>
        <v>624.5086427790906</v>
      </c>
      <c r="T36" s="101">
        <f t="shared" si="6"/>
        <v>-4.190951585769653E-09</v>
      </c>
      <c r="U36" s="102">
        <f t="shared" si="7"/>
        <v>0</v>
      </c>
      <c r="V36" s="103"/>
      <c r="W36" s="97">
        <f t="shared" si="8"/>
        <v>300</v>
      </c>
      <c r="X36" s="70">
        <f t="shared" si="9"/>
        <v>2457161.181759658</v>
      </c>
      <c r="Y36" s="70">
        <f t="shared" si="10"/>
        <v>2200000.0000000047</v>
      </c>
      <c r="Z36" s="70">
        <f t="shared" si="21"/>
        <v>737.1483545278974</v>
      </c>
      <c r="AA36" s="68">
        <f t="shared" si="22"/>
        <v>257161.18175965315</v>
      </c>
      <c r="AB36" s="101">
        <f t="shared" si="23"/>
        <v>637212.2890150812</v>
      </c>
      <c r="AC36" s="104">
        <f t="shared" si="24"/>
        <v>77.14835452789595</v>
      </c>
      <c r="AD36" s="104">
        <f t="shared" si="11"/>
        <v>6.429029543991329</v>
      </c>
      <c r="AE36" s="105">
        <f t="shared" si="12"/>
        <v>6.372122890150813</v>
      </c>
      <c r="AF36" s="105">
        <f t="shared" si="13"/>
        <v>14.337276502839329</v>
      </c>
      <c r="AG36" s="105">
        <f t="shared" si="25"/>
        <v>104.28678346487743</v>
      </c>
      <c r="AH36" s="106">
        <f t="shared" si="26"/>
        <v>404.9644348662572</v>
      </c>
      <c r="AI36" s="95">
        <f t="shared" si="14"/>
        <v>4595.035565133743</v>
      </c>
      <c r="AK36" s="4">
        <f t="shared" si="15"/>
        <v>0</v>
      </c>
      <c r="AL36" s="4">
        <f t="shared" si="16"/>
        <v>0</v>
      </c>
      <c r="AM36" s="4">
        <f t="shared" si="17"/>
        <v>1</v>
      </c>
      <c r="AN36" s="4">
        <f t="shared" si="27"/>
        <v>0</v>
      </c>
      <c r="AO36" s="4">
        <f t="shared" si="28"/>
        <v>1</v>
      </c>
    </row>
    <row r="37" spans="2:41" ht="12.75">
      <c r="B37" s="10"/>
      <c r="C37" s="10"/>
      <c r="D37" s="10"/>
      <c r="E37" s="10"/>
      <c r="F37" s="10"/>
      <c r="G37" s="10"/>
      <c r="H37" s="107">
        <f t="shared" si="29"/>
        <v>27</v>
      </c>
      <c r="I37" s="98">
        <f ca="1" t="shared" si="18"/>
        <v>0.3564485304181275</v>
      </c>
      <c r="J37" s="99"/>
      <c r="K37" s="97">
        <f t="shared" si="0"/>
        <v>243.28236022215873</v>
      </c>
      <c r="L37" s="70">
        <f t="shared" si="1"/>
        <v>2443025.487758932</v>
      </c>
      <c r="M37" s="70">
        <f t="shared" si="2"/>
        <v>2443025.487758932</v>
      </c>
      <c r="N37" s="100">
        <f t="shared" si="19"/>
        <v>594.3450067448836</v>
      </c>
      <c r="O37" s="28"/>
      <c r="P37" s="97">
        <f t="shared" si="3"/>
        <v>243.28236022215873</v>
      </c>
      <c r="Q37" s="70">
        <f t="shared" si="4"/>
        <v>2443025.487758932</v>
      </c>
      <c r="R37" s="70">
        <f t="shared" si="5"/>
        <v>2443025.487758932</v>
      </c>
      <c r="S37" s="70">
        <f t="shared" si="20"/>
        <v>594.3450067448836</v>
      </c>
      <c r="T37" s="101">
        <f t="shared" si="6"/>
        <v>0</v>
      </c>
      <c r="U37" s="102">
        <f t="shared" si="7"/>
        <v>0</v>
      </c>
      <c r="V37" s="103"/>
      <c r="W37" s="97">
        <f t="shared" si="8"/>
        <v>300</v>
      </c>
      <c r="X37" s="70">
        <f t="shared" si="9"/>
        <v>2712897.0608362523</v>
      </c>
      <c r="Y37" s="70">
        <f t="shared" si="10"/>
        <v>2200000.0000000047</v>
      </c>
      <c r="Z37" s="70">
        <f t="shared" si="21"/>
        <v>813.8691182508757</v>
      </c>
      <c r="AA37" s="68">
        <f t="shared" si="22"/>
        <v>512897.06083624763</v>
      </c>
      <c r="AB37" s="101">
        <f t="shared" si="23"/>
        <v>1150109.3498513289</v>
      </c>
      <c r="AC37" s="104">
        <f t="shared" si="24"/>
        <v>153.8691182508743</v>
      </c>
      <c r="AD37" s="104">
        <f t="shared" si="11"/>
        <v>12.822426520906191</v>
      </c>
      <c r="AE37" s="105">
        <f t="shared" si="12"/>
        <v>11.501093498513288</v>
      </c>
      <c r="AF37" s="105">
        <f t="shared" si="13"/>
        <v>25.877460371654898</v>
      </c>
      <c r="AG37" s="105">
        <f t="shared" si="25"/>
        <v>204.07009864194868</v>
      </c>
      <c r="AH37" s="106">
        <f t="shared" si="26"/>
        <v>609.0345335082059</v>
      </c>
      <c r="AI37" s="95">
        <f t="shared" si="14"/>
        <v>4390.965466491794</v>
      </c>
      <c r="AK37" s="4">
        <f t="shared" si="15"/>
        <v>0</v>
      </c>
      <c r="AL37" s="4">
        <f t="shared" si="16"/>
        <v>0</v>
      </c>
      <c r="AM37" s="4">
        <f t="shared" si="17"/>
        <v>1</v>
      </c>
      <c r="AN37" s="4">
        <f t="shared" si="27"/>
        <v>0</v>
      </c>
      <c r="AO37" s="4">
        <f t="shared" si="28"/>
        <v>1</v>
      </c>
    </row>
    <row r="38" spans="2:41" ht="12.75">
      <c r="B38" s="10"/>
      <c r="C38" s="10"/>
      <c r="D38" s="10"/>
      <c r="E38" s="10"/>
      <c r="F38" s="10"/>
      <c r="G38" s="10"/>
      <c r="H38" s="107">
        <f t="shared" si="29"/>
        <v>28</v>
      </c>
      <c r="I38" s="98">
        <f ca="1" t="shared" si="18"/>
        <v>-0.37487806551192565</v>
      </c>
      <c r="J38" s="99"/>
      <c r="K38" s="97">
        <f t="shared" si="0"/>
        <v>527.8970098373603</v>
      </c>
      <c r="L38" s="70">
        <f t="shared" si="1"/>
        <v>1658474.1516669872</v>
      </c>
      <c r="M38" s="70">
        <f t="shared" si="2"/>
        <v>1658474.1516669872</v>
      </c>
      <c r="N38" s="100">
        <f t="shared" si="19"/>
        <v>875.5035455575553</v>
      </c>
      <c r="O38" s="28"/>
      <c r="P38" s="97">
        <f t="shared" si="3"/>
        <v>400</v>
      </c>
      <c r="Q38" s="70">
        <f t="shared" si="4"/>
        <v>1443657.2686121166</v>
      </c>
      <c r="R38" s="70">
        <f t="shared" si="5"/>
        <v>1905255.8883257702</v>
      </c>
      <c r="S38" s="70">
        <f t="shared" si="20"/>
        <v>577.4629074448467</v>
      </c>
      <c r="T38" s="101">
        <f t="shared" si="6"/>
        <v>461598.6197136536</v>
      </c>
      <c r="U38" s="102">
        <f t="shared" si="7"/>
        <v>0</v>
      </c>
      <c r="V38" s="103"/>
      <c r="W38" s="97">
        <f t="shared" si="8"/>
        <v>400</v>
      </c>
      <c r="X38" s="70">
        <f t="shared" si="9"/>
        <v>1443657.2686121166</v>
      </c>
      <c r="Y38" s="70">
        <f t="shared" si="10"/>
        <v>1905255.8883257702</v>
      </c>
      <c r="Z38" s="70">
        <f t="shared" si="21"/>
        <v>577.4629074448467</v>
      </c>
      <c r="AA38" s="68">
        <f t="shared" si="22"/>
        <v>-461598.6197136536</v>
      </c>
      <c r="AB38" s="101">
        <f t="shared" si="23"/>
        <v>688510.7301376753</v>
      </c>
      <c r="AC38" s="104">
        <f t="shared" si="24"/>
        <v>-184.6394478854614</v>
      </c>
      <c r="AD38" s="104">
        <f t="shared" si="11"/>
        <v>11.539965492841338</v>
      </c>
      <c r="AE38" s="105">
        <f t="shared" si="12"/>
        <v>6.8851073013767525</v>
      </c>
      <c r="AF38" s="105">
        <f t="shared" si="13"/>
        <v>20.655321904130258</v>
      </c>
      <c r="AG38" s="105">
        <f t="shared" si="25"/>
        <v>-145.55905318711305</v>
      </c>
      <c r="AH38" s="106">
        <f t="shared" si="26"/>
        <v>463.47548032109285</v>
      </c>
      <c r="AI38" s="95">
        <f t="shared" si="14"/>
        <v>4536.524519678907</v>
      </c>
      <c r="AK38" s="4">
        <f t="shared" si="15"/>
        <v>0</v>
      </c>
      <c r="AL38" s="4">
        <f t="shared" si="16"/>
        <v>0</v>
      </c>
      <c r="AM38" s="4">
        <f t="shared" si="17"/>
        <v>1</v>
      </c>
      <c r="AN38" s="4">
        <f t="shared" si="27"/>
        <v>1</v>
      </c>
      <c r="AO38" s="4">
        <f t="shared" si="28"/>
        <v>0</v>
      </c>
    </row>
    <row r="39" spans="2:41" ht="12.75">
      <c r="B39" s="10"/>
      <c r="C39" s="10"/>
      <c r="D39" s="10"/>
      <c r="E39" s="10"/>
      <c r="F39" s="10"/>
      <c r="G39" s="10"/>
      <c r="H39" s="107">
        <f t="shared" si="29"/>
        <v>29</v>
      </c>
      <c r="I39" s="98">
        <f ca="1" t="shared" si="18"/>
        <v>0.13295765363263476</v>
      </c>
      <c r="J39" s="99"/>
      <c r="K39" s="97">
        <f t="shared" si="0"/>
        <v>291.27302237812006</v>
      </c>
      <c r="L39" s="70">
        <f t="shared" si="1"/>
        <v>2232714.4188148202</v>
      </c>
      <c r="M39" s="70">
        <f t="shared" si="2"/>
        <v>2232714.4188148202</v>
      </c>
      <c r="N39" s="100">
        <f t="shared" si="19"/>
        <v>650.3294768754005</v>
      </c>
      <c r="O39" s="28"/>
      <c r="P39" s="97">
        <f t="shared" si="3"/>
        <v>291.27302237812006</v>
      </c>
      <c r="Q39" s="70">
        <f t="shared" si="4"/>
        <v>2232714.4188148202</v>
      </c>
      <c r="R39" s="70">
        <f t="shared" si="5"/>
        <v>2232714.4188148202</v>
      </c>
      <c r="S39" s="70">
        <f t="shared" si="20"/>
        <v>650.3294768754005</v>
      </c>
      <c r="T39" s="101">
        <f t="shared" si="6"/>
        <v>0</v>
      </c>
      <c r="U39" s="102">
        <f t="shared" si="7"/>
        <v>0</v>
      </c>
      <c r="V39" s="103"/>
      <c r="W39" s="97">
        <f t="shared" si="8"/>
        <v>300</v>
      </c>
      <c r="X39" s="70">
        <f t="shared" si="9"/>
        <v>2265915.3072652686</v>
      </c>
      <c r="Y39" s="70">
        <f t="shared" si="10"/>
        <v>2200000.0000000047</v>
      </c>
      <c r="Z39" s="70">
        <f t="shared" si="21"/>
        <v>679.7745921795806</v>
      </c>
      <c r="AA39" s="68">
        <f t="shared" si="22"/>
        <v>65915.30726526398</v>
      </c>
      <c r="AB39" s="101">
        <f t="shared" si="23"/>
        <v>754426.0374029393</v>
      </c>
      <c r="AC39" s="104">
        <f t="shared" si="24"/>
        <v>19.774592179579194</v>
      </c>
      <c r="AD39" s="104">
        <f t="shared" si="11"/>
        <v>1.6478826816315995</v>
      </c>
      <c r="AE39" s="105">
        <f t="shared" si="12"/>
        <v>7.544260374029393</v>
      </c>
      <c r="AF39" s="105">
        <f t="shared" si="13"/>
        <v>16.974585841566135</v>
      </c>
      <c r="AG39" s="105">
        <f t="shared" si="25"/>
        <v>45.94132107680632</v>
      </c>
      <c r="AH39" s="106">
        <f t="shared" si="26"/>
        <v>509.4168013978992</v>
      </c>
      <c r="AI39" s="95">
        <f t="shared" si="14"/>
        <v>4490.583198602101</v>
      </c>
      <c r="AK39" s="4">
        <f t="shared" si="15"/>
        <v>0</v>
      </c>
      <c r="AL39" s="4">
        <f t="shared" si="16"/>
        <v>0</v>
      </c>
      <c r="AM39" s="4">
        <f t="shared" si="17"/>
        <v>1</v>
      </c>
      <c r="AN39" s="4">
        <f t="shared" si="27"/>
        <v>0</v>
      </c>
      <c r="AO39" s="4">
        <f t="shared" si="28"/>
        <v>1</v>
      </c>
    </row>
    <row r="40" spans="2:41" ht="12.75">
      <c r="B40" s="10"/>
      <c r="C40" s="10"/>
      <c r="D40" s="10"/>
      <c r="E40" s="10"/>
      <c r="F40" s="10"/>
      <c r="G40" s="10"/>
      <c r="H40" s="107">
        <f t="shared" si="29"/>
        <v>30</v>
      </c>
      <c r="I40" s="98">
        <f ca="1" t="shared" si="18"/>
        <v>0.1907907192412838</v>
      </c>
      <c r="J40" s="99"/>
      <c r="K40" s="97">
        <f t="shared" si="0"/>
        <v>277.12678195061966</v>
      </c>
      <c r="L40" s="70">
        <f t="shared" si="1"/>
        <v>2288990.8616378633</v>
      </c>
      <c r="M40" s="70">
        <f t="shared" si="2"/>
        <v>2288990.8616378633</v>
      </c>
      <c r="N40" s="100">
        <f t="shared" si="19"/>
        <v>634.3406714000772</v>
      </c>
      <c r="O40" s="28"/>
      <c r="P40" s="97">
        <f t="shared" si="3"/>
        <v>277.12678195061966</v>
      </c>
      <c r="Q40" s="70">
        <f t="shared" si="4"/>
        <v>2288990.8616378633</v>
      </c>
      <c r="R40" s="70">
        <f t="shared" si="5"/>
        <v>2288990.8616378633</v>
      </c>
      <c r="S40" s="70">
        <f t="shared" si="20"/>
        <v>634.3406714000772</v>
      </c>
      <c r="T40" s="101">
        <f t="shared" si="6"/>
        <v>0</v>
      </c>
      <c r="U40" s="102">
        <f t="shared" si="7"/>
        <v>0</v>
      </c>
      <c r="V40" s="103"/>
      <c r="W40" s="97">
        <f t="shared" si="8"/>
        <v>300</v>
      </c>
      <c r="X40" s="70">
        <f t="shared" si="9"/>
        <v>2381581.4384825663</v>
      </c>
      <c r="Y40" s="70">
        <f t="shared" si="10"/>
        <v>2200000.0000000047</v>
      </c>
      <c r="Z40" s="70">
        <f t="shared" si="21"/>
        <v>714.4744315447699</v>
      </c>
      <c r="AA40" s="68">
        <f t="shared" si="22"/>
        <v>181581.4384825616</v>
      </c>
      <c r="AB40" s="101">
        <f t="shared" si="23"/>
        <v>936007.4758855009</v>
      </c>
      <c r="AC40" s="104">
        <f t="shared" si="24"/>
        <v>54.474431544768485</v>
      </c>
      <c r="AD40" s="104">
        <f t="shared" si="11"/>
        <v>4.539535962064041</v>
      </c>
      <c r="AE40" s="105">
        <f t="shared" si="12"/>
        <v>9.36007475885501</v>
      </c>
      <c r="AF40" s="105">
        <f t="shared" si="13"/>
        <v>21.06016820742377</v>
      </c>
      <c r="AG40" s="105">
        <f t="shared" si="25"/>
        <v>89.4342104731113</v>
      </c>
      <c r="AH40" s="106">
        <f t="shared" si="26"/>
        <v>598.8510118710105</v>
      </c>
      <c r="AI40" s="95">
        <f t="shared" si="14"/>
        <v>4401.148988128989</v>
      </c>
      <c r="AK40" s="4">
        <f t="shared" si="15"/>
        <v>0</v>
      </c>
      <c r="AL40" s="4">
        <f t="shared" si="16"/>
        <v>0</v>
      </c>
      <c r="AM40" s="4">
        <f t="shared" si="17"/>
        <v>1</v>
      </c>
      <c r="AN40" s="4">
        <f t="shared" si="27"/>
        <v>0</v>
      </c>
      <c r="AO40" s="4">
        <f t="shared" si="28"/>
        <v>1</v>
      </c>
    </row>
    <row r="41" spans="2:41" ht="12.75">
      <c r="B41" s="10"/>
      <c r="C41" s="10"/>
      <c r="D41" s="10"/>
      <c r="E41" s="10"/>
      <c r="F41" s="10"/>
      <c r="G41" s="10"/>
      <c r="H41" s="107">
        <f t="shared" si="29"/>
        <v>31</v>
      </c>
      <c r="I41" s="98">
        <f ca="1" t="shared" si="18"/>
        <v>-0.2185475180269778</v>
      </c>
      <c r="J41" s="99"/>
      <c r="K41" s="97">
        <f t="shared" si="0"/>
        <v>422.29055203307075</v>
      </c>
      <c r="L41" s="70">
        <f t="shared" si="1"/>
        <v>1854289.869648569</v>
      </c>
      <c r="M41" s="70">
        <f t="shared" si="2"/>
        <v>1854289.869648569</v>
      </c>
      <c r="N41" s="100">
        <f t="shared" si="19"/>
        <v>783.049092683225</v>
      </c>
      <c r="O41" s="28"/>
      <c r="P41" s="97">
        <f t="shared" si="3"/>
        <v>400</v>
      </c>
      <c r="Q41" s="70">
        <f t="shared" si="4"/>
        <v>1804687.203304102</v>
      </c>
      <c r="R41" s="70">
        <f t="shared" si="5"/>
        <v>1905255.8883257702</v>
      </c>
      <c r="S41" s="70">
        <f t="shared" si="20"/>
        <v>721.8748813216407</v>
      </c>
      <c r="T41" s="101">
        <f t="shared" si="6"/>
        <v>100568.6850216682</v>
      </c>
      <c r="U41" s="102">
        <f t="shared" si="7"/>
        <v>0</v>
      </c>
      <c r="V41" s="103"/>
      <c r="W41" s="97">
        <f t="shared" si="8"/>
        <v>400</v>
      </c>
      <c r="X41" s="70">
        <f t="shared" si="9"/>
        <v>1804687.203304102</v>
      </c>
      <c r="Y41" s="70">
        <f t="shared" si="10"/>
        <v>1905255.8883257702</v>
      </c>
      <c r="Z41" s="70">
        <f t="shared" si="21"/>
        <v>721.8748813216407</v>
      </c>
      <c r="AA41" s="68">
        <f t="shared" si="22"/>
        <v>-100568.6850216682</v>
      </c>
      <c r="AB41" s="101">
        <f t="shared" si="23"/>
        <v>835438.7908638327</v>
      </c>
      <c r="AC41" s="104">
        <f t="shared" si="24"/>
        <v>-40.22747400866728</v>
      </c>
      <c r="AD41" s="104">
        <f t="shared" si="11"/>
        <v>2.514217125541705</v>
      </c>
      <c r="AE41" s="105">
        <f t="shared" si="12"/>
        <v>8.354387908638326</v>
      </c>
      <c r="AF41" s="105">
        <f t="shared" si="13"/>
        <v>25.063163725914983</v>
      </c>
      <c r="AG41" s="105">
        <f t="shared" si="25"/>
        <v>-4.295705248572265</v>
      </c>
      <c r="AH41" s="106">
        <f t="shared" si="26"/>
        <v>594.5553066224383</v>
      </c>
      <c r="AI41" s="95">
        <f t="shared" si="14"/>
        <v>4405.444693377562</v>
      </c>
      <c r="AK41" s="4">
        <f t="shared" si="15"/>
        <v>0</v>
      </c>
      <c r="AL41" s="4">
        <f t="shared" si="16"/>
        <v>0</v>
      </c>
      <c r="AM41" s="4">
        <f t="shared" si="17"/>
        <v>1</v>
      </c>
      <c r="AN41" s="4">
        <f t="shared" si="27"/>
        <v>1</v>
      </c>
      <c r="AO41" s="4">
        <f t="shared" si="28"/>
        <v>0</v>
      </c>
    </row>
    <row r="42" spans="2:41" ht="12.75">
      <c r="B42" s="10"/>
      <c r="C42" s="10"/>
      <c r="D42" s="10"/>
      <c r="E42" s="10"/>
      <c r="F42" s="10"/>
      <c r="G42" s="10"/>
      <c r="H42" s="107">
        <f t="shared" si="29"/>
        <v>32</v>
      </c>
      <c r="I42" s="98">
        <f ca="1" t="shared" si="18"/>
        <v>-0.08956615896240475</v>
      </c>
      <c r="J42" s="99"/>
      <c r="K42" s="97">
        <f aca="true" t="shared" si="30" ref="K42:K73">EXP((Dalpha-Salpha-LN(1+I42))/(Sbeta-Dbeta))</f>
        <v>362.4645582417161</v>
      </c>
      <c r="L42" s="70">
        <f aca="true" t="shared" si="31" ref="L42:L73">EXP(Salpha+LN(1+$I42)+Sbeta*LN(K42))</f>
        <v>2001476.6799954027</v>
      </c>
      <c r="M42" s="70">
        <f aca="true" t="shared" si="32" ref="M42:M73">EXP(Dalpha+Dbeta*LN(K42))</f>
        <v>2001476.6799954027</v>
      </c>
      <c r="N42" s="100">
        <f t="shared" si="19"/>
        <v>725.4643606456301</v>
      </c>
      <c r="O42" s="28"/>
      <c r="P42" s="97">
        <f aca="true" t="shared" si="33" ref="P42:P73">MAX(MIN(K42,Import_parity_price),Export_parity_price)</f>
        <v>362.4645582417161</v>
      </c>
      <c r="Q42" s="70">
        <f aca="true" t="shared" si="34" ref="Q42:Q73">EXP(Salpha+LN(1+$I42)+Sbeta*LN(P42))</f>
        <v>2001476.6799954027</v>
      </c>
      <c r="R42" s="70">
        <f aca="true" t="shared" si="35" ref="R42:R73">EXP(Dalpha+Dbeta*LN(P42))</f>
        <v>2001476.6799954027</v>
      </c>
      <c r="S42" s="70">
        <f t="shared" si="20"/>
        <v>725.4643606456301</v>
      </c>
      <c r="T42" s="101">
        <f aca="true" t="shared" si="36" ref="T42:T73">R42-Q42</f>
        <v>0</v>
      </c>
      <c r="U42" s="102">
        <f aca="true" t="shared" si="37" ref="U42:U73">T42*Import_tariff*Pw/1000000</f>
        <v>0</v>
      </c>
      <c r="V42" s="103"/>
      <c r="W42" s="97">
        <f aca="true" t="shared" si="38" ref="W42:W73">MAX(MIN(K42,Sell_price),Buy_price)</f>
        <v>362.4645582417161</v>
      </c>
      <c r="X42" s="70">
        <f aca="true" t="shared" si="39" ref="X42:X73">EXP(Salpha+LN(1+$I42)+Sbeta*LN(W42))</f>
        <v>2001476.6799954027</v>
      </c>
      <c r="Y42" s="70">
        <f aca="true" t="shared" si="40" ref="Y42:Y73">EXP(Dalpha+Dbeta*LN(W42))</f>
        <v>2001476.6799954027</v>
      </c>
      <c r="Z42" s="70">
        <f t="shared" si="21"/>
        <v>725.4643606456301</v>
      </c>
      <c r="AA42" s="68">
        <f t="shared" si="22"/>
        <v>0</v>
      </c>
      <c r="AB42" s="101">
        <f t="shared" si="23"/>
        <v>835438.7908638327</v>
      </c>
      <c r="AC42" s="104">
        <f t="shared" si="24"/>
        <v>0</v>
      </c>
      <c r="AD42" s="104">
        <f aca="true" t="shared" si="41" ref="AD42:AD73">ABS(AA42*Transport_cost)/1000000</f>
        <v>0</v>
      </c>
      <c r="AE42" s="105">
        <f aca="true" t="shared" si="42" ref="AE42:AE73">MAX(0,Storage_cost*AB42/1000000)</f>
        <v>8.354387908638326</v>
      </c>
      <c r="AF42" s="105">
        <f aca="true" t="shared" si="43" ref="AF42:AF73">MAX(0,AB42*W42*Interest_rate*0.75/1000000)</f>
        <v>22.71127142013394</v>
      </c>
      <c r="AG42" s="105">
        <f t="shared" si="25"/>
        <v>31.065659328772266</v>
      </c>
      <c r="AH42" s="106">
        <f t="shared" si="26"/>
        <v>625.6209659512106</v>
      </c>
      <c r="AI42" s="95">
        <f aca="true" t="shared" si="44" ref="AI42:AI73">Initial_fund-AH42</f>
        <v>4374.379034048789</v>
      </c>
      <c r="AK42" s="4">
        <f t="shared" si="15"/>
        <v>0</v>
      </c>
      <c r="AL42" s="4">
        <f t="shared" si="16"/>
        <v>0</v>
      </c>
      <c r="AM42" s="4">
        <f aca="true" t="shared" si="45" ref="AM42:AM73">IF(AB42&gt;Storage_capacity,1,0)</f>
        <v>1</v>
      </c>
      <c r="AN42" s="4">
        <f t="shared" si="27"/>
        <v>0</v>
      </c>
      <c r="AO42" s="4">
        <f t="shared" si="28"/>
        <v>0</v>
      </c>
    </row>
    <row r="43" spans="2:41" ht="12.75">
      <c r="B43" s="10"/>
      <c r="C43" s="10"/>
      <c r="D43" s="10"/>
      <c r="E43" s="10"/>
      <c r="F43" s="10"/>
      <c r="G43" s="10"/>
      <c r="H43" s="107">
        <f t="shared" si="29"/>
        <v>33</v>
      </c>
      <c r="I43" s="98">
        <f aca="true" ca="1" t="shared" si="46" ref="I43:I74">MAX($G$13,NORMINV(RAND(),0,StdDevS))</f>
        <v>0.17562588444994603</v>
      </c>
      <c r="J43" s="99"/>
      <c r="K43" s="97">
        <f t="shared" si="30"/>
        <v>280.7015432076862</v>
      </c>
      <c r="L43" s="70">
        <f t="shared" si="31"/>
        <v>2274368.899624638</v>
      </c>
      <c r="M43" s="70">
        <f t="shared" si="32"/>
        <v>2274368.8996246336</v>
      </c>
      <c r="N43" s="100">
        <f t="shared" si="19"/>
        <v>638.418859948203</v>
      </c>
      <c r="O43" s="28"/>
      <c r="P43" s="97">
        <f t="shared" si="33"/>
        <v>280.7015432076862</v>
      </c>
      <c r="Q43" s="70">
        <f t="shared" si="34"/>
        <v>2274368.899624638</v>
      </c>
      <c r="R43" s="70">
        <f t="shared" si="35"/>
        <v>2274368.8996246336</v>
      </c>
      <c r="S43" s="70">
        <f t="shared" si="20"/>
        <v>638.418859948203</v>
      </c>
      <c r="T43" s="101">
        <f t="shared" si="36"/>
        <v>-4.190951585769653E-09</v>
      </c>
      <c r="U43" s="102">
        <f t="shared" si="37"/>
        <v>0</v>
      </c>
      <c r="V43" s="103"/>
      <c r="W43" s="97">
        <f t="shared" si="38"/>
        <v>300</v>
      </c>
      <c r="X43" s="70">
        <f t="shared" si="39"/>
        <v>2351251.768899893</v>
      </c>
      <c r="Y43" s="70">
        <f t="shared" si="40"/>
        <v>2200000.0000000047</v>
      </c>
      <c r="Z43" s="70">
        <f t="shared" si="21"/>
        <v>705.3755306699679</v>
      </c>
      <c r="AA43" s="68">
        <f t="shared" si="22"/>
        <v>151251.76889988827</v>
      </c>
      <c r="AB43" s="101">
        <f t="shared" si="23"/>
        <v>986690.559763721</v>
      </c>
      <c r="AC43" s="104">
        <f t="shared" si="24"/>
        <v>45.37553066996648</v>
      </c>
      <c r="AD43" s="104">
        <f t="shared" si="41"/>
        <v>3.781294222497207</v>
      </c>
      <c r="AE43" s="105">
        <f t="shared" si="42"/>
        <v>9.86690559763721</v>
      </c>
      <c r="AF43" s="105">
        <f t="shared" si="43"/>
        <v>22.200537594683727</v>
      </c>
      <c r="AG43" s="105">
        <f t="shared" si="25"/>
        <v>81.22426808478463</v>
      </c>
      <c r="AH43" s="106">
        <f t="shared" si="26"/>
        <v>706.8452340359952</v>
      </c>
      <c r="AI43" s="95">
        <f t="shared" si="44"/>
        <v>4293.154765964005</v>
      </c>
      <c r="AK43" s="4">
        <f t="shared" si="15"/>
        <v>0</v>
      </c>
      <c r="AL43" s="4">
        <f t="shared" si="16"/>
        <v>0</v>
      </c>
      <c r="AM43" s="4">
        <f t="shared" si="45"/>
        <v>1</v>
      </c>
      <c r="AN43" s="4">
        <f t="shared" si="27"/>
        <v>0</v>
      </c>
      <c r="AO43" s="4">
        <f t="shared" si="28"/>
        <v>1</v>
      </c>
    </row>
    <row r="44" spans="2:41" ht="12.75">
      <c r="B44" s="10"/>
      <c r="C44" s="10"/>
      <c r="D44" s="10"/>
      <c r="E44" s="10"/>
      <c r="F44" s="10"/>
      <c r="G44" s="10"/>
      <c r="H44" s="107">
        <f t="shared" si="29"/>
        <v>34</v>
      </c>
      <c r="I44" s="98">
        <f ca="1" t="shared" si="46"/>
        <v>0.19889515772919686</v>
      </c>
      <c r="J44" s="99"/>
      <c r="K44" s="97">
        <f t="shared" si="30"/>
        <v>275.2534263505135</v>
      </c>
      <c r="L44" s="70">
        <f t="shared" si="31"/>
        <v>2296767.0090822177</v>
      </c>
      <c r="M44" s="70">
        <f t="shared" si="32"/>
        <v>2296767.0090822177</v>
      </c>
      <c r="N44" s="100">
        <f t="shared" si="19"/>
        <v>632.1929887787014</v>
      </c>
      <c r="O44" s="28"/>
      <c r="P44" s="97">
        <f t="shared" si="33"/>
        <v>275.2534263505135</v>
      </c>
      <c r="Q44" s="70">
        <f t="shared" si="34"/>
        <v>2296767.0090822177</v>
      </c>
      <c r="R44" s="70">
        <f t="shared" si="35"/>
        <v>2296767.0090822177</v>
      </c>
      <c r="S44" s="70">
        <f t="shared" si="20"/>
        <v>632.1929887787014</v>
      </c>
      <c r="T44" s="101">
        <f t="shared" si="36"/>
        <v>0</v>
      </c>
      <c r="U44" s="102">
        <f t="shared" si="37"/>
        <v>0</v>
      </c>
      <c r="V44" s="103"/>
      <c r="W44" s="97">
        <f t="shared" si="38"/>
        <v>300</v>
      </c>
      <c r="X44" s="70">
        <f t="shared" si="39"/>
        <v>2397790.315458393</v>
      </c>
      <c r="Y44" s="70">
        <f t="shared" si="40"/>
        <v>2200000.0000000047</v>
      </c>
      <c r="Z44" s="70">
        <f t="shared" si="21"/>
        <v>719.3370946375179</v>
      </c>
      <c r="AA44" s="68">
        <f t="shared" si="22"/>
        <v>197790.31545838853</v>
      </c>
      <c r="AB44" s="101">
        <f t="shared" si="23"/>
        <v>1184480.8752221095</v>
      </c>
      <c r="AC44" s="104">
        <f t="shared" si="24"/>
        <v>59.33709463751656</v>
      </c>
      <c r="AD44" s="104">
        <f t="shared" si="41"/>
        <v>4.944757886459714</v>
      </c>
      <c r="AE44" s="105">
        <f t="shared" si="42"/>
        <v>11.844808752221095</v>
      </c>
      <c r="AF44" s="105">
        <f t="shared" si="43"/>
        <v>26.65081969249746</v>
      </c>
      <c r="AG44" s="105">
        <f t="shared" si="25"/>
        <v>102.77748096869483</v>
      </c>
      <c r="AH44" s="106">
        <f t="shared" si="26"/>
        <v>809.62271500469</v>
      </c>
      <c r="AI44" s="95">
        <f t="shared" si="44"/>
        <v>4190.37728499531</v>
      </c>
      <c r="AK44" s="4">
        <f t="shared" si="15"/>
        <v>0</v>
      </c>
      <c r="AL44" s="4">
        <f t="shared" si="16"/>
        <v>0</v>
      </c>
      <c r="AM44" s="4">
        <f t="shared" si="45"/>
        <v>1</v>
      </c>
      <c r="AN44" s="4">
        <f t="shared" si="27"/>
        <v>0</v>
      </c>
      <c r="AO44" s="4">
        <f t="shared" si="28"/>
        <v>1</v>
      </c>
    </row>
    <row r="45" spans="2:41" ht="12.75">
      <c r="B45" s="10"/>
      <c r="C45" s="10"/>
      <c r="D45" s="10"/>
      <c r="E45" s="10"/>
      <c r="F45" s="10"/>
      <c r="G45" s="10"/>
      <c r="H45" s="107">
        <f t="shared" si="29"/>
        <v>35</v>
      </c>
      <c r="I45" s="98">
        <f ca="1" t="shared" si="46"/>
        <v>0.052122974256953516</v>
      </c>
      <c r="J45" s="99"/>
      <c r="K45" s="97">
        <f t="shared" si="30"/>
        <v>313.65154841624724</v>
      </c>
      <c r="L45" s="70">
        <f t="shared" si="31"/>
        <v>2151590.3622043408</v>
      </c>
      <c r="M45" s="70">
        <f t="shared" si="32"/>
        <v>2151590.3622043408</v>
      </c>
      <c r="N45" s="100">
        <f t="shared" si="19"/>
        <v>674.8496486628658</v>
      </c>
      <c r="O45" s="28"/>
      <c r="P45" s="97">
        <f t="shared" si="33"/>
        <v>313.65154841624724</v>
      </c>
      <c r="Q45" s="70">
        <f t="shared" si="34"/>
        <v>2151590.3622043408</v>
      </c>
      <c r="R45" s="70">
        <f t="shared" si="35"/>
        <v>2151590.3622043408</v>
      </c>
      <c r="S45" s="70">
        <f t="shared" si="20"/>
        <v>674.8496486628658</v>
      </c>
      <c r="T45" s="101">
        <f t="shared" si="36"/>
        <v>0</v>
      </c>
      <c r="U45" s="102">
        <f t="shared" si="37"/>
        <v>0</v>
      </c>
      <c r="V45" s="103"/>
      <c r="W45" s="97">
        <f t="shared" si="38"/>
        <v>313.65154841624724</v>
      </c>
      <c r="X45" s="70">
        <f t="shared" si="39"/>
        <v>2151590.3622043408</v>
      </c>
      <c r="Y45" s="70">
        <f t="shared" si="40"/>
        <v>2151590.3622043408</v>
      </c>
      <c r="Z45" s="70">
        <f t="shared" si="21"/>
        <v>674.8496486628658</v>
      </c>
      <c r="AA45" s="68">
        <f t="shared" si="22"/>
        <v>0</v>
      </c>
      <c r="AB45" s="101">
        <f t="shared" si="23"/>
        <v>1184480.8752221095</v>
      </c>
      <c r="AC45" s="104">
        <f t="shared" si="24"/>
        <v>0</v>
      </c>
      <c r="AD45" s="104">
        <f t="shared" si="41"/>
        <v>0</v>
      </c>
      <c r="AE45" s="105">
        <f t="shared" si="42"/>
        <v>11.844808752221095</v>
      </c>
      <c r="AF45" s="105">
        <f t="shared" si="43"/>
        <v>27.86356954371348</v>
      </c>
      <c r="AG45" s="105">
        <f t="shared" si="25"/>
        <v>39.70837829593458</v>
      </c>
      <c r="AH45" s="106">
        <f t="shared" si="26"/>
        <v>849.3310933006246</v>
      </c>
      <c r="AI45" s="95">
        <f t="shared" si="44"/>
        <v>4150.668906699375</v>
      </c>
      <c r="AK45" s="4">
        <f t="shared" si="15"/>
        <v>0</v>
      </c>
      <c r="AL45" s="4">
        <f t="shared" si="16"/>
        <v>0</v>
      </c>
      <c r="AM45" s="4">
        <f t="shared" si="45"/>
        <v>1</v>
      </c>
      <c r="AN45" s="4">
        <f t="shared" si="27"/>
        <v>0</v>
      </c>
      <c r="AO45" s="4">
        <f t="shared" si="28"/>
        <v>0</v>
      </c>
    </row>
    <row r="46" spans="2:41" ht="12.75">
      <c r="B46" s="10"/>
      <c r="C46" s="10"/>
      <c r="D46" s="10"/>
      <c r="E46" s="10"/>
      <c r="F46" s="10"/>
      <c r="G46" s="10"/>
      <c r="H46" s="107">
        <f t="shared" si="29"/>
        <v>36</v>
      </c>
      <c r="I46" s="98">
        <f ca="1" t="shared" si="46"/>
        <v>0.45885067674419133</v>
      </c>
      <c r="J46" s="99"/>
      <c r="K46" s="97">
        <f t="shared" si="30"/>
        <v>226.20546794856511</v>
      </c>
      <c r="L46" s="70">
        <f t="shared" si="31"/>
        <v>2533563.2965597003</v>
      </c>
      <c r="M46" s="70">
        <f t="shared" si="32"/>
        <v>2533563.2965597003</v>
      </c>
      <c r="N46" s="100">
        <f t="shared" si="19"/>
        <v>573.1058710755963</v>
      </c>
      <c r="O46" s="28"/>
      <c r="P46" s="97">
        <f t="shared" si="33"/>
        <v>226.20546794856511</v>
      </c>
      <c r="Q46" s="70">
        <f t="shared" si="34"/>
        <v>2533563.2965597003</v>
      </c>
      <c r="R46" s="70">
        <f t="shared" si="35"/>
        <v>2533563.2965597003</v>
      </c>
      <c r="S46" s="70">
        <f t="shared" si="20"/>
        <v>573.1058710755963</v>
      </c>
      <c r="T46" s="101">
        <f t="shared" si="36"/>
        <v>0</v>
      </c>
      <c r="U46" s="102">
        <f t="shared" si="37"/>
        <v>0</v>
      </c>
      <c r="V46" s="103"/>
      <c r="W46" s="97">
        <f t="shared" si="38"/>
        <v>300</v>
      </c>
      <c r="X46" s="70">
        <f t="shared" si="39"/>
        <v>2917701.3534883824</v>
      </c>
      <c r="Y46" s="70">
        <f t="shared" si="40"/>
        <v>2200000.0000000047</v>
      </c>
      <c r="Z46" s="70">
        <f t="shared" si="21"/>
        <v>875.3104060465148</v>
      </c>
      <c r="AA46" s="68">
        <f t="shared" si="22"/>
        <v>717701.3534883778</v>
      </c>
      <c r="AB46" s="101">
        <f t="shared" si="23"/>
        <v>1902182.2287104873</v>
      </c>
      <c r="AC46" s="104">
        <f t="shared" si="24"/>
        <v>215.31040604651332</v>
      </c>
      <c r="AD46" s="104">
        <f t="shared" si="41"/>
        <v>17.942533837209446</v>
      </c>
      <c r="AE46" s="105">
        <f t="shared" si="42"/>
        <v>19.02182228710487</v>
      </c>
      <c r="AF46" s="105">
        <f t="shared" si="43"/>
        <v>42.79910014598597</v>
      </c>
      <c r="AG46" s="105">
        <f t="shared" si="25"/>
        <v>295.07386231681363</v>
      </c>
      <c r="AH46" s="106">
        <f t="shared" si="26"/>
        <v>1144.4049556174382</v>
      </c>
      <c r="AI46" s="95">
        <f t="shared" si="44"/>
        <v>3855.595044382562</v>
      </c>
      <c r="AK46" s="4">
        <f t="shared" si="15"/>
        <v>0</v>
      </c>
      <c r="AL46" s="4">
        <f t="shared" si="16"/>
        <v>0</v>
      </c>
      <c r="AM46" s="4">
        <f t="shared" si="45"/>
        <v>1</v>
      </c>
      <c r="AN46" s="4">
        <f t="shared" si="27"/>
        <v>0</v>
      </c>
      <c r="AO46" s="4">
        <f t="shared" si="28"/>
        <v>1</v>
      </c>
    </row>
    <row r="47" spans="2:41" ht="12.75">
      <c r="B47" s="10"/>
      <c r="C47" s="10"/>
      <c r="D47" s="10"/>
      <c r="E47" s="10"/>
      <c r="F47" s="10"/>
      <c r="G47" s="10"/>
      <c r="H47" s="107">
        <f t="shared" si="29"/>
        <v>37</v>
      </c>
      <c r="I47" s="98">
        <f ca="1" t="shared" si="46"/>
        <v>-0.1638954431856505</v>
      </c>
      <c r="J47" s="99"/>
      <c r="K47" s="97">
        <f t="shared" si="30"/>
        <v>394.68747934748404</v>
      </c>
      <c r="L47" s="70">
        <f t="shared" si="31"/>
        <v>1918035.4662996077</v>
      </c>
      <c r="M47" s="70">
        <f t="shared" si="32"/>
        <v>1918035.4662996044</v>
      </c>
      <c r="N47" s="100">
        <f t="shared" si="19"/>
        <v>757.0245834928683</v>
      </c>
      <c r="O47" s="28"/>
      <c r="P47" s="97">
        <f t="shared" si="33"/>
        <v>394.68747934748404</v>
      </c>
      <c r="Q47" s="70">
        <f t="shared" si="34"/>
        <v>1918035.4662996077</v>
      </c>
      <c r="R47" s="70">
        <f t="shared" si="35"/>
        <v>1918035.4662996044</v>
      </c>
      <c r="S47" s="70">
        <f t="shared" si="20"/>
        <v>757.0245834928683</v>
      </c>
      <c r="T47" s="101">
        <f t="shared" si="36"/>
        <v>-3.259629011154175E-09</v>
      </c>
      <c r="U47" s="102">
        <f t="shared" si="37"/>
        <v>0</v>
      </c>
      <c r="V47" s="103"/>
      <c r="W47" s="97">
        <f t="shared" si="38"/>
        <v>394.68747934748404</v>
      </c>
      <c r="X47" s="70">
        <f t="shared" si="39"/>
        <v>1918035.4662996077</v>
      </c>
      <c r="Y47" s="70">
        <f t="shared" si="40"/>
        <v>1918035.4662996044</v>
      </c>
      <c r="Z47" s="70">
        <f t="shared" si="21"/>
        <v>757.0245834928683</v>
      </c>
      <c r="AA47" s="68">
        <f t="shared" si="22"/>
        <v>3.259629011154175E-09</v>
      </c>
      <c r="AB47" s="101">
        <f t="shared" si="23"/>
        <v>1902182.2287104905</v>
      </c>
      <c r="AC47" s="104">
        <f t="shared" si="24"/>
        <v>1.2865347580203732E-12</v>
      </c>
      <c r="AD47" s="104">
        <f t="shared" si="41"/>
        <v>8.149072527885437E-14</v>
      </c>
      <c r="AE47" s="105">
        <f t="shared" si="42"/>
        <v>19.021822287104904</v>
      </c>
      <c r="AF47" s="105">
        <f t="shared" si="43"/>
        <v>56.307563183199214</v>
      </c>
      <c r="AG47" s="105">
        <f t="shared" si="25"/>
        <v>75.32938547030548</v>
      </c>
      <c r="AH47" s="106">
        <f t="shared" si="26"/>
        <v>1219.7343410877436</v>
      </c>
      <c r="AI47" s="95">
        <f t="shared" si="44"/>
        <v>3780.265658912256</v>
      </c>
      <c r="AK47" s="4">
        <f t="shared" si="15"/>
        <v>0</v>
      </c>
      <c r="AL47" s="4">
        <f t="shared" si="16"/>
        <v>0</v>
      </c>
      <c r="AM47" s="4">
        <f t="shared" si="45"/>
        <v>1</v>
      </c>
      <c r="AN47" s="4">
        <f t="shared" si="27"/>
        <v>0</v>
      </c>
      <c r="AO47" s="4">
        <f t="shared" si="28"/>
        <v>1</v>
      </c>
    </row>
    <row r="48" spans="2:41" ht="12.75">
      <c r="B48" s="10"/>
      <c r="C48" s="10"/>
      <c r="D48" s="10"/>
      <c r="E48" s="10"/>
      <c r="F48" s="10"/>
      <c r="G48" s="10"/>
      <c r="H48" s="107">
        <f t="shared" si="29"/>
        <v>38</v>
      </c>
      <c r="I48" s="98">
        <f ca="1" t="shared" si="46"/>
        <v>0.24546335473951097</v>
      </c>
      <c r="J48" s="99"/>
      <c r="K48" s="97">
        <f t="shared" si="30"/>
        <v>264.96162953667977</v>
      </c>
      <c r="L48" s="70">
        <f t="shared" si="31"/>
        <v>2340948.2610373665</v>
      </c>
      <c r="M48" s="70">
        <f t="shared" si="32"/>
        <v>2340948.2610373665</v>
      </c>
      <c r="N48" s="100">
        <f t="shared" si="19"/>
        <v>620.2614659055174</v>
      </c>
      <c r="O48" s="28"/>
      <c r="P48" s="97">
        <f t="shared" si="33"/>
        <v>264.96162953667977</v>
      </c>
      <c r="Q48" s="70">
        <f t="shared" si="34"/>
        <v>2340948.2610373665</v>
      </c>
      <c r="R48" s="70">
        <f t="shared" si="35"/>
        <v>2340948.2610373665</v>
      </c>
      <c r="S48" s="70">
        <f t="shared" si="20"/>
        <v>620.2614659055174</v>
      </c>
      <c r="T48" s="101">
        <f t="shared" si="36"/>
        <v>0</v>
      </c>
      <c r="U48" s="102">
        <f t="shared" si="37"/>
        <v>0</v>
      </c>
      <c r="V48" s="103"/>
      <c r="W48" s="97">
        <f t="shared" si="38"/>
        <v>300</v>
      </c>
      <c r="X48" s="70">
        <f t="shared" si="39"/>
        <v>2490926.709479022</v>
      </c>
      <c r="Y48" s="70">
        <f t="shared" si="40"/>
        <v>2200000.0000000047</v>
      </c>
      <c r="Z48" s="70">
        <f t="shared" si="21"/>
        <v>747.2780128437066</v>
      </c>
      <c r="AA48" s="68">
        <f t="shared" si="22"/>
        <v>290926.7094790172</v>
      </c>
      <c r="AB48" s="101">
        <f t="shared" si="23"/>
        <v>2193108.9381895075</v>
      </c>
      <c r="AC48" s="104">
        <f t="shared" si="24"/>
        <v>87.27801284370514</v>
      </c>
      <c r="AD48" s="104">
        <f t="shared" si="41"/>
        <v>7.27316773697543</v>
      </c>
      <c r="AE48" s="105">
        <f t="shared" si="42"/>
        <v>21.931089381895074</v>
      </c>
      <c r="AF48" s="105">
        <f t="shared" si="43"/>
        <v>49.34495110926392</v>
      </c>
      <c r="AG48" s="105">
        <f t="shared" si="25"/>
        <v>165.82722107183957</v>
      </c>
      <c r="AH48" s="106">
        <f t="shared" si="26"/>
        <v>1385.5615621595832</v>
      </c>
      <c r="AI48" s="95">
        <f t="shared" si="44"/>
        <v>3614.4384378404166</v>
      </c>
      <c r="AK48" s="4">
        <f t="shared" si="15"/>
        <v>0</v>
      </c>
      <c r="AL48" s="4">
        <f t="shared" si="16"/>
        <v>0</v>
      </c>
      <c r="AM48" s="4">
        <f t="shared" si="45"/>
        <v>1</v>
      </c>
      <c r="AN48" s="4">
        <f t="shared" si="27"/>
        <v>0</v>
      </c>
      <c r="AO48" s="4">
        <f t="shared" si="28"/>
        <v>1</v>
      </c>
    </row>
    <row r="49" spans="2:41" ht="12.75">
      <c r="B49" s="10"/>
      <c r="C49" s="10"/>
      <c r="D49" s="10"/>
      <c r="E49" s="10"/>
      <c r="F49" s="10"/>
      <c r="G49" s="10"/>
      <c r="H49" s="107">
        <f t="shared" si="29"/>
        <v>39</v>
      </c>
      <c r="I49" s="98">
        <f ca="1" t="shared" si="46"/>
        <v>-0.07738623997503778</v>
      </c>
      <c r="J49" s="99"/>
      <c r="K49" s="97">
        <f t="shared" si="30"/>
        <v>357.67946924081474</v>
      </c>
      <c r="L49" s="70">
        <f t="shared" si="31"/>
        <v>2014820.2262509305</v>
      </c>
      <c r="M49" s="70">
        <f t="shared" si="32"/>
        <v>2014820.226250927</v>
      </c>
      <c r="N49" s="100">
        <f t="shared" si="19"/>
        <v>720.6598291410911</v>
      </c>
      <c r="O49" s="28"/>
      <c r="P49" s="97">
        <f t="shared" si="33"/>
        <v>357.67946924081474</v>
      </c>
      <c r="Q49" s="70">
        <f t="shared" si="34"/>
        <v>2014820.2262509305</v>
      </c>
      <c r="R49" s="70">
        <f t="shared" si="35"/>
        <v>2014820.226250927</v>
      </c>
      <c r="S49" s="70">
        <f t="shared" si="20"/>
        <v>720.6598291410911</v>
      </c>
      <c r="T49" s="101">
        <f t="shared" si="36"/>
        <v>-3.4924596548080444E-09</v>
      </c>
      <c r="U49" s="102">
        <f t="shared" si="37"/>
        <v>0</v>
      </c>
      <c r="V49" s="103"/>
      <c r="W49" s="97">
        <f t="shared" si="38"/>
        <v>357.67946924081474</v>
      </c>
      <c r="X49" s="70">
        <f t="shared" si="39"/>
        <v>2014820.2262509305</v>
      </c>
      <c r="Y49" s="70">
        <f t="shared" si="40"/>
        <v>2014820.226250927</v>
      </c>
      <c r="Z49" s="70">
        <f t="shared" si="21"/>
        <v>720.6598291410911</v>
      </c>
      <c r="AA49" s="68">
        <f t="shared" si="22"/>
        <v>3.4924596548080444E-09</v>
      </c>
      <c r="AB49" s="101">
        <f t="shared" si="23"/>
        <v>2193108.938189511</v>
      </c>
      <c r="AC49" s="104">
        <f t="shared" si="24"/>
        <v>1.2491811156767005E-12</v>
      </c>
      <c r="AD49" s="104">
        <f t="shared" si="41"/>
        <v>8.731149137020111E-14</v>
      </c>
      <c r="AE49" s="105">
        <f t="shared" si="42"/>
        <v>21.93108938189511</v>
      </c>
      <c r="AF49" s="105">
        <f t="shared" si="43"/>
        <v>58.83225307491833</v>
      </c>
      <c r="AG49" s="105">
        <f t="shared" si="25"/>
        <v>80.76334245681477</v>
      </c>
      <c r="AH49" s="106">
        <f t="shared" si="26"/>
        <v>1466.324904616398</v>
      </c>
      <c r="AI49" s="95">
        <f t="shared" si="44"/>
        <v>3533.6750953836017</v>
      </c>
      <c r="AK49" s="4">
        <f t="shared" si="15"/>
        <v>0</v>
      </c>
      <c r="AL49" s="4">
        <f t="shared" si="16"/>
        <v>0</v>
      </c>
      <c r="AM49" s="4">
        <f t="shared" si="45"/>
        <v>1</v>
      </c>
      <c r="AN49" s="4">
        <f t="shared" si="27"/>
        <v>0</v>
      </c>
      <c r="AO49" s="4">
        <f t="shared" si="28"/>
        <v>1</v>
      </c>
    </row>
    <row r="50" spans="2:41" ht="12.75">
      <c r="B50" s="10"/>
      <c r="C50" s="10"/>
      <c r="D50" s="10"/>
      <c r="E50" s="10"/>
      <c r="F50" s="10"/>
      <c r="G50" s="10"/>
      <c r="H50" s="107">
        <f t="shared" si="29"/>
        <v>40</v>
      </c>
      <c r="I50" s="98">
        <f ca="1" t="shared" si="46"/>
        <v>-0.2648502002514728</v>
      </c>
      <c r="J50" s="99"/>
      <c r="K50" s="97">
        <f t="shared" si="30"/>
        <v>448.8881043195333</v>
      </c>
      <c r="L50" s="70">
        <f t="shared" si="31"/>
        <v>1798515.8100204533</v>
      </c>
      <c r="M50" s="70">
        <f t="shared" si="32"/>
        <v>1798515.8100204533</v>
      </c>
      <c r="N50" s="100">
        <f t="shared" si="19"/>
        <v>807.3323525487912</v>
      </c>
      <c r="O50" s="28"/>
      <c r="P50" s="97">
        <f t="shared" si="33"/>
        <v>400</v>
      </c>
      <c r="Q50" s="70">
        <f t="shared" si="34"/>
        <v>1697755.7391180461</v>
      </c>
      <c r="R50" s="70">
        <f t="shared" si="35"/>
        <v>1905255.8883257702</v>
      </c>
      <c r="S50" s="70">
        <f t="shared" si="20"/>
        <v>679.1022956472185</v>
      </c>
      <c r="T50" s="101">
        <f t="shared" si="36"/>
        <v>207500.14920772403</v>
      </c>
      <c r="U50" s="102">
        <f t="shared" si="37"/>
        <v>0</v>
      </c>
      <c r="V50" s="103"/>
      <c r="W50" s="97">
        <f t="shared" si="38"/>
        <v>400</v>
      </c>
      <c r="X50" s="70">
        <f t="shared" si="39"/>
        <v>1697755.7391180461</v>
      </c>
      <c r="Y50" s="70">
        <f t="shared" si="40"/>
        <v>1905255.8883257702</v>
      </c>
      <c r="Z50" s="70">
        <f t="shared" si="21"/>
        <v>679.1022956472185</v>
      </c>
      <c r="AA50" s="68">
        <f t="shared" si="22"/>
        <v>-207500.14920772403</v>
      </c>
      <c r="AB50" s="101">
        <f t="shared" si="23"/>
        <v>1985608.7889817872</v>
      </c>
      <c r="AC50" s="104">
        <f t="shared" si="24"/>
        <v>-83.00005968308962</v>
      </c>
      <c r="AD50" s="104">
        <f t="shared" si="41"/>
        <v>5.187503730193101</v>
      </c>
      <c r="AE50" s="105">
        <f t="shared" si="42"/>
        <v>19.85608788981787</v>
      </c>
      <c r="AF50" s="105">
        <f t="shared" si="43"/>
        <v>59.56826366945362</v>
      </c>
      <c r="AG50" s="105">
        <f t="shared" si="25"/>
        <v>1.6117956063749759</v>
      </c>
      <c r="AH50" s="106">
        <f t="shared" si="26"/>
        <v>1467.936700222773</v>
      </c>
      <c r="AI50" s="95">
        <f t="shared" si="44"/>
        <v>3532.0632997772273</v>
      </c>
      <c r="AK50" s="4">
        <f t="shared" si="15"/>
        <v>0</v>
      </c>
      <c r="AL50" s="4">
        <f t="shared" si="16"/>
        <v>0</v>
      </c>
      <c r="AM50" s="4">
        <f t="shared" si="45"/>
        <v>1</v>
      </c>
      <c r="AN50" s="4">
        <f t="shared" si="27"/>
        <v>1</v>
      </c>
      <c r="AO50" s="4">
        <f t="shared" si="28"/>
        <v>0</v>
      </c>
    </row>
    <row r="51" spans="2:41" ht="12.75">
      <c r="B51" s="10"/>
      <c r="C51" s="10"/>
      <c r="D51" s="10"/>
      <c r="E51" s="10"/>
      <c r="F51" s="10"/>
      <c r="G51" s="10"/>
      <c r="H51" s="107">
        <f t="shared" si="29"/>
        <v>41</v>
      </c>
      <c r="I51" s="98">
        <f ca="1" t="shared" si="46"/>
        <v>0.31454207941373286</v>
      </c>
      <c r="J51" s="99"/>
      <c r="K51" s="97">
        <f t="shared" si="30"/>
        <v>251.03798894530337</v>
      </c>
      <c r="L51" s="70">
        <f t="shared" si="31"/>
        <v>2404991.715041952</v>
      </c>
      <c r="M51" s="70">
        <f t="shared" si="32"/>
        <v>2404991.715041952</v>
      </c>
      <c r="N51" s="100">
        <f t="shared" si="19"/>
        <v>603.7442835742478</v>
      </c>
      <c r="O51" s="28"/>
      <c r="P51" s="97">
        <f t="shared" si="33"/>
        <v>251.03798894530337</v>
      </c>
      <c r="Q51" s="70">
        <f t="shared" si="34"/>
        <v>2404991.715041952</v>
      </c>
      <c r="R51" s="70">
        <f t="shared" si="35"/>
        <v>2404991.715041952</v>
      </c>
      <c r="S51" s="70">
        <f t="shared" si="20"/>
        <v>603.7442835742478</v>
      </c>
      <c r="T51" s="101">
        <f t="shared" si="36"/>
        <v>0</v>
      </c>
      <c r="U51" s="102">
        <f t="shared" si="37"/>
        <v>0</v>
      </c>
      <c r="V51" s="103"/>
      <c r="W51" s="97">
        <f t="shared" si="38"/>
        <v>300</v>
      </c>
      <c r="X51" s="70">
        <f t="shared" si="39"/>
        <v>2629084.1588274627</v>
      </c>
      <c r="Y51" s="70">
        <f t="shared" si="40"/>
        <v>2200000.0000000047</v>
      </c>
      <c r="Z51" s="70">
        <f t="shared" si="21"/>
        <v>788.7252476482388</v>
      </c>
      <c r="AA51" s="68">
        <f t="shared" si="22"/>
        <v>429084.15882745804</v>
      </c>
      <c r="AB51" s="101">
        <f t="shared" si="23"/>
        <v>2414692.9478092454</v>
      </c>
      <c r="AC51" s="104">
        <f t="shared" si="24"/>
        <v>128.7252476482374</v>
      </c>
      <c r="AD51" s="104">
        <f t="shared" si="41"/>
        <v>10.72710397068645</v>
      </c>
      <c r="AE51" s="105">
        <f t="shared" si="42"/>
        <v>24.146929478092453</v>
      </c>
      <c r="AF51" s="105">
        <f t="shared" si="43"/>
        <v>54.330591325708035</v>
      </c>
      <c r="AG51" s="105">
        <f t="shared" si="25"/>
        <v>217.92987242272434</v>
      </c>
      <c r="AH51" s="106">
        <f t="shared" si="26"/>
        <v>1685.8665726454974</v>
      </c>
      <c r="AI51" s="95">
        <f t="shared" si="44"/>
        <v>3314.1334273545026</v>
      </c>
      <c r="AK51" s="4">
        <f t="shared" si="15"/>
        <v>0</v>
      </c>
      <c r="AL51" s="4">
        <f t="shared" si="16"/>
        <v>0</v>
      </c>
      <c r="AM51" s="4">
        <f t="shared" si="45"/>
        <v>1</v>
      </c>
      <c r="AN51" s="4">
        <f t="shared" si="27"/>
        <v>0</v>
      </c>
      <c r="AO51" s="4">
        <f t="shared" si="28"/>
        <v>1</v>
      </c>
    </row>
    <row r="52" spans="2:41" ht="12.75">
      <c r="B52" s="10"/>
      <c r="C52" s="10"/>
      <c r="D52" s="10"/>
      <c r="E52" s="10"/>
      <c r="F52" s="10"/>
      <c r="G52" s="10"/>
      <c r="H52" s="107">
        <f t="shared" si="29"/>
        <v>42</v>
      </c>
      <c r="I52" s="98">
        <f ca="1" t="shared" si="46"/>
        <v>-0.12795926509432964</v>
      </c>
      <c r="J52" s="99"/>
      <c r="K52" s="97">
        <f t="shared" si="30"/>
        <v>378.42268920579414</v>
      </c>
      <c r="L52" s="70">
        <f t="shared" si="31"/>
        <v>1958820.8783819329</v>
      </c>
      <c r="M52" s="70">
        <f t="shared" si="32"/>
        <v>1958820.8783819294</v>
      </c>
      <c r="N52" s="100">
        <f t="shared" si="19"/>
        <v>741.2622644697468</v>
      </c>
      <c r="O52" s="28"/>
      <c r="P52" s="97">
        <f t="shared" si="33"/>
        <v>378.42268920579414</v>
      </c>
      <c r="Q52" s="70">
        <f t="shared" si="34"/>
        <v>1958820.8783819329</v>
      </c>
      <c r="R52" s="70">
        <f t="shared" si="35"/>
        <v>1958820.8783819294</v>
      </c>
      <c r="S52" s="70">
        <f t="shared" si="20"/>
        <v>741.2622644697468</v>
      </c>
      <c r="T52" s="101">
        <f t="shared" si="36"/>
        <v>-3.4924596548080444E-09</v>
      </c>
      <c r="U52" s="102">
        <f t="shared" si="37"/>
        <v>0</v>
      </c>
      <c r="V52" s="103"/>
      <c r="W52" s="97">
        <f t="shared" si="38"/>
        <v>378.42268920579414</v>
      </c>
      <c r="X52" s="70">
        <f t="shared" si="39"/>
        <v>1958820.8783819329</v>
      </c>
      <c r="Y52" s="70">
        <f t="shared" si="40"/>
        <v>1958820.8783819294</v>
      </c>
      <c r="Z52" s="70">
        <f t="shared" si="21"/>
        <v>741.2622644697468</v>
      </c>
      <c r="AA52" s="68">
        <f t="shared" si="22"/>
        <v>3.4924596548080444E-09</v>
      </c>
      <c r="AB52" s="101">
        <f t="shared" si="23"/>
        <v>2414692.947809249</v>
      </c>
      <c r="AC52" s="104">
        <f t="shared" si="24"/>
        <v>1.3216259745151997E-12</v>
      </c>
      <c r="AD52" s="104">
        <f t="shared" si="41"/>
        <v>8.731149137020111E-14</v>
      </c>
      <c r="AE52" s="105">
        <f t="shared" si="42"/>
        <v>24.146929478092492</v>
      </c>
      <c r="AF52" s="105">
        <f t="shared" si="43"/>
        <v>68.53309491871819</v>
      </c>
      <c r="AG52" s="105">
        <f t="shared" si="25"/>
        <v>92.68002439681209</v>
      </c>
      <c r="AH52" s="106">
        <f t="shared" si="26"/>
        <v>1778.5465970423095</v>
      </c>
      <c r="AI52" s="95">
        <f t="shared" si="44"/>
        <v>3221.4534029576907</v>
      </c>
      <c r="AK52" s="4">
        <f t="shared" si="15"/>
        <v>0</v>
      </c>
      <c r="AL52" s="4">
        <f t="shared" si="16"/>
        <v>0</v>
      </c>
      <c r="AM52" s="4">
        <f t="shared" si="45"/>
        <v>1</v>
      </c>
      <c r="AN52" s="4">
        <f t="shared" si="27"/>
        <v>0</v>
      </c>
      <c r="AO52" s="4">
        <f t="shared" si="28"/>
        <v>1</v>
      </c>
    </row>
    <row r="53" spans="2:41" ht="12.75">
      <c r="B53" s="10"/>
      <c r="C53" s="10"/>
      <c r="D53" s="10"/>
      <c r="E53" s="10"/>
      <c r="F53" s="10"/>
      <c r="G53" s="10"/>
      <c r="H53" s="107">
        <f t="shared" si="29"/>
        <v>43</v>
      </c>
      <c r="I53" s="98">
        <f ca="1" t="shared" si="46"/>
        <v>-0.21197668131622902</v>
      </c>
      <c r="J53" s="99"/>
      <c r="K53" s="97">
        <f t="shared" si="30"/>
        <v>418.76933356641945</v>
      </c>
      <c r="L53" s="70">
        <f t="shared" si="31"/>
        <v>1862069.4407590167</v>
      </c>
      <c r="M53" s="70">
        <f t="shared" si="32"/>
        <v>1862069.4407590167</v>
      </c>
      <c r="N53" s="100">
        <f t="shared" si="19"/>
        <v>779.7775787610487</v>
      </c>
      <c r="O53" s="28"/>
      <c r="P53" s="97">
        <f t="shared" si="33"/>
        <v>400</v>
      </c>
      <c r="Q53" s="70">
        <f t="shared" si="34"/>
        <v>1819861.9006791073</v>
      </c>
      <c r="R53" s="70">
        <f t="shared" si="35"/>
        <v>1905255.8883257702</v>
      </c>
      <c r="S53" s="70">
        <f t="shared" si="20"/>
        <v>727.944760271643</v>
      </c>
      <c r="T53" s="101">
        <f t="shared" si="36"/>
        <v>85393.98764666286</v>
      </c>
      <c r="U53" s="102">
        <f t="shared" si="37"/>
        <v>0</v>
      </c>
      <c r="V53" s="103"/>
      <c r="W53" s="97">
        <f t="shared" si="38"/>
        <v>400</v>
      </c>
      <c r="X53" s="70">
        <f t="shared" si="39"/>
        <v>1819861.9006791073</v>
      </c>
      <c r="Y53" s="70">
        <f t="shared" si="40"/>
        <v>1905255.8883257702</v>
      </c>
      <c r="Z53" s="70">
        <f t="shared" si="21"/>
        <v>727.944760271643</v>
      </c>
      <c r="AA53" s="68">
        <f t="shared" si="22"/>
        <v>-85393.98764666286</v>
      </c>
      <c r="AB53" s="101">
        <f t="shared" si="23"/>
        <v>2329298.9601625865</v>
      </c>
      <c r="AC53" s="104">
        <f t="shared" si="24"/>
        <v>-34.157595058665144</v>
      </c>
      <c r="AD53" s="104">
        <f t="shared" si="41"/>
        <v>2.1348496911665715</v>
      </c>
      <c r="AE53" s="105">
        <f t="shared" si="42"/>
        <v>23.292989601625866</v>
      </c>
      <c r="AF53" s="105">
        <f t="shared" si="43"/>
        <v>69.87896880487762</v>
      </c>
      <c r="AG53" s="105">
        <f t="shared" si="25"/>
        <v>61.149213039004906</v>
      </c>
      <c r="AH53" s="106">
        <f t="shared" si="26"/>
        <v>1839.6958100813144</v>
      </c>
      <c r="AI53" s="95">
        <f t="shared" si="44"/>
        <v>3160.3041899186856</v>
      </c>
      <c r="AK53" s="4">
        <f t="shared" si="15"/>
        <v>0</v>
      </c>
      <c r="AL53" s="4">
        <f t="shared" si="16"/>
        <v>0</v>
      </c>
      <c r="AM53" s="4">
        <f t="shared" si="45"/>
        <v>1</v>
      </c>
      <c r="AN53" s="4">
        <f t="shared" si="27"/>
        <v>1</v>
      </c>
      <c r="AO53" s="4">
        <f t="shared" si="28"/>
        <v>0</v>
      </c>
    </row>
    <row r="54" spans="2:41" ht="12.75">
      <c r="B54" s="10"/>
      <c r="C54" s="10"/>
      <c r="D54" s="10"/>
      <c r="E54" s="10"/>
      <c r="F54" s="10"/>
      <c r="G54" s="10"/>
      <c r="H54" s="107">
        <f t="shared" si="29"/>
        <v>44</v>
      </c>
      <c r="I54" s="98">
        <f ca="1" t="shared" si="46"/>
        <v>-0.16985625390295245</v>
      </c>
      <c r="J54" s="99"/>
      <c r="K54" s="97">
        <f t="shared" si="30"/>
        <v>397.5215154622417</v>
      </c>
      <c r="L54" s="70">
        <f t="shared" si="31"/>
        <v>1911186.145519847</v>
      </c>
      <c r="M54" s="70">
        <f t="shared" si="32"/>
        <v>1911186.145519847</v>
      </c>
      <c r="N54" s="100">
        <f t="shared" si="19"/>
        <v>759.7376128974901</v>
      </c>
      <c r="O54" s="28"/>
      <c r="P54" s="97">
        <f t="shared" si="33"/>
        <v>397.5215154622417</v>
      </c>
      <c r="Q54" s="70">
        <f t="shared" si="34"/>
        <v>1911186.145519847</v>
      </c>
      <c r="R54" s="70">
        <f t="shared" si="35"/>
        <v>1911186.145519847</v>
      </c>
      <c r="S54" s="70">
        <f t="shared" si="20"/>
        <v>759.7376128974901</v>
      </c>
      <c r="T54" s="101">
        <f t="shared" si="36"/>
        <v>0</v>
      </c>
      <c r="U54" s="102">
        <f t="shared" si="37"/>
        <v>0</v>
      </c>
      <c r="V54" s="103"/>
      <c r="W54" s="97">
        <f t="shared" si="38"/>
        <v>397.5215154622417</v>
      </c>
      <c r="X54" s="70">
        <f t="shared" si="39"/>
        <v>1911186.145519847</v>
      </c>
      <c r="Y54" s="70">
        <f t="shared" si="40"/>
        <v>1911186.145519847</v>
      </c>
      <c r="Z54" s="70">
        <f t="shared" si="21"/>
        <v>759.7376128974901</v>
      </c>
      <c r="AA54" s="68">
        <f t="shared" si="22"/>
        <v>0</v>
      </c>
      <c r="AB54" s="101">
        <f t="shared" si="23"/>
        <v>2329298.9601625865</v>
      </c>
      <c r="AC54" s="104">
        <f t="shared" si="24"/>
        <v>0</v>
      </c>
      <c r="AD54" s="104">
        <f t="shared" si="41"/>
        <v>0</v>
      </c>
      <c r="AE54" s="105">
        <f t="shared" si="42"/>
        <v>23.292989601625866</v>
      </c>
      <c r="AF54" s="105">
        <f t="shared" si="43"/>
        <v>69.44598394563414</v>
      </c>
      <c r="AG54" s="105">
        <f t="shared" si="25"/>
        <v>92.73897354726</v>
      </c>
      <c r="AH54" s="106">
        <f t="shared" si="26"/>
        <v>1932.4347836285745</v>
      </c>
      <c r="AI54" s="95">
        <f t="shared" si="44"/>
        <v>3067.565216371426</v>
      </c>
      <c r="AK54" s="4">
        <f t="shared" si="15"/>
        <v>0</v>
      </c>
      <c r="AL54" s="4">
        <f t="shared" si="16"/>
        <v>0</v>
      </c>
      <c r="AM54" s="4">
        <f t="shared" si="45"/>
        <v>1</v>
      </c>
      <c r="AN54" s="4">
        <f t="shared" si="27"/>
        <v>0</v>
      </c>
      <c r="AO54" s="4">
        <f t="shared" si="28"/>
        <v>0</v>
      </c>
    </row>
    <row r="55" spans="2:41" ht="12.75">
      <c r="B55" s="10"/>
      <c r="C55" s="10"/>
      <c r="D55" s="10"/>
      <c r="E55" s="10"/>
      <c r="F55" s="10"/>
      <c r="G55" s="10"/>
      <c r="H55" s="107">
        <f t="shared" si="29"/>
        <v>45</v>
      </c>
      <c r="I55" s="98">
        <f ca="1" t="shared" si="46"/>
        <v>0.05689799602995175</v>
      </c>
      <c r="J55" s="99"/>
      <c r="K55" s="97">
        <f t="shared" si="30"/>
        <v>312.23448359216013</v>
      </c>
      <c r="L55" s="70">
        <f t="shared" si="31"/>
        <v>2156467.2922471613</v>
      </c>
      <c r="M55" s="70">
        <f t="shared" si="32"/>
        <v>2156467.2922471613</v>
      </c>
      <c r="N55" s="100">
        <f t="shared" si="19"/>
        <v>673.3234513781762</v>
      </c>
      <c r="O55" s="28"/>
      <c r="P55" s="97">
        <f t="shared" si="33"/>
        <v>312.23448359216013</v>
      </c>
      <c r="Q55" s="70">
        <f t="shared" si="34"/>
        <v>2156467.2922471613</v>
      </c>
      <c r="R55" s="70">
        <f t="shared" si="35"/>
        <v>2156467.2922471613</v>
      </c>
      <c r="S55" s="70">
        <f t="shared" si="20"/>
        <v>673.3234513781762</v>
      </c>
      <c r="T55" s="101">
        <f t="shared" si="36"/>
        <v>0</v>
      </c>
      <c r="U55" s="102">
        <f t="shared" si="37"/>
        <v>0</v>
      </c>
      <c r="V55" s="103"/>
      <c r="W55" s="97">
        <f t="shared" si="38"/>
        <v>312.23448359216013</v>
      </c>
      <c r="X55" s="70">
        <f t="shared" si="39"/>
        <v>2156467.2922471613</v>
      </c>
      <c r="Y55" s="70">
        <f t="shared" si="40"/>
        <v>2156467.2922471613</v>
      </c>
      <c r="Z55" s="70">
        <f t="shared" si="21"/>
        <v>673.3234513781762</v>
      </c>
      <c r="AA55" s="68">
        <f t="shared" si="22"/>
        <v>0</v>
      </c>
      <c r="AB55" s="101">
        <f t="shared" si="23"/>
        <v>2329298.9601625865</v>
      </c>
      <c r="AC55" s="104">
        <f t="shared" si="24"/>
        <v>0</v>
      </c>
      <c r="AD55" s="104">
        <f t="shared" si="41"/>
        <v>0</v>
      </c>
      <c r="AE55" s="105">
        <f t="shared" si="42"/>
        <v>23.292989601625866</v>
      </c>
      <c r="AF55" s="105">
        <f t="shared" si="43"/>
        <v>54.54655934685907</v>
      </c>
      <c r="AG55" s="105">
        <f t="shared" si="25"/>
        <v>77.83954894848493</v>
      </c>
      <c r="AH55" s="106">
        <f t="shared" si="26"/>
        <v>2010.2743325770593</v>
      </c>
      <c r="AI55" s="95">
        <f t="shared" si="44"/>
        <v>2989.7256674229407</v>
      </c>
      <c r="AK55" s="4">
        <f t="shared" si="15"/>
        <v>0</v>
      </c>
      <c r="AL55" s="4">
        <f t="shared" si="16"/>
        <v>0</v>
      </c>
      <c r="AM55" s="4">
        <f t="shared" si="45"/>
        <v>1</v>
      </c>
      <c r="AN55" s="4">
        <f t="shared" si="27"/>
        <v>0</v>
      </c>
      <c r="AO55" s="4">
        <f t="shared" si="28"/>
        <v>0</v>
      </c>
    </row>
    <row r="56" spans="2:41" ht="12.75">
      <c r="B56" s="10"/>
      <c r="C56" s="10"/>
      <c r="D56" s="10"/>
      <c r="E56" s="10"/>
      <c r="F56" s="10"/>
      <c r="G56" s="10"/>
      <c r="H56" s="107">
        <f t="shared" si="29"/>
        <v>46</v>
      </c>
      <c r="I56" s="98">
        <f ca="1" t="shared" si="46"/>
        <v>0.19863099605335657</v>
      </c>
      <c r="J56" s="99"/>
      <c r="K56" s="97">
        <f t="shared" si="30"/>
        <v>275.3140883946498</v>
      </c>
      <c r="L56" s="70">
        <f t="shared" si="31"/>
        <v>2296513.963082912</v>
      </c>
      <c r="M56" s="70">
        <f t="shared" si="32"/>
        <v>2296513.963082912</v>
      </c>
      <c r="N56" s="100">
        <f t="shared" si="19"/>
        <v>632.2626482317563</v>
      </c>
      <c r="O56" s="28"/>
      <c r="P56" s="97">
        <f t="shared" si="33"/>
        <v>275.3140883946498</v>
      </c>
      <c r="Q56" s="70">
        <f t="shared" si="34"/>
        <v>2296513.963082912</v>
      </c>
      <c r="R56" s="70">
        <f t="shared" si="35"/>
        <v>2296513.963082912</v>
      </c>
      <c r="S56" s="70">
        <f t="shared" si="20"/>
        <v>632.2626482317563</v>
      </c>
      <c r="T56" s="101">
        <f t="shared" si="36"/>
        <v>0</v>
      </c>
      <c r="U56" s="102">
        <f t="shared" si="37"/>
        <v>0</v>
      </c>
      <c r="V56" s="103"/>
      <c r="W56" s="97">
        <f t="shared" si="38"/>
        <v>300</v>
      </c>
      <c r="X56" s="70">
        <f t="shared" si="39"/>
        <v>2397261.9921067134</v>
      </c>
      <c r="Y56" s="70">
        <f t="shared" si="40"/>
        <v>2200000.0000000047</v>
      </c>
      <c r="Z56" s="70">
        <f t="shared" si="21"/>
        <v>719.1785976320141</v>
      </c>
      <c r="AA56" s="68">
        <f t="shared" si="22"/>
        <v>197261.9921067087</v>
      </c>
      <c r="AB56" s="101">
        <f t="shared" si="23"/>
        <v>2526560.952269295</v>
      </c>
      <c r="AC56" s="104">
        <f t="shared" si="24"/>
        <v>59.178597632012604</v>
      </c>
      <c r="AD56" s="104">
        <f t="shared" si="41"/>
        <v>4.931549802667718</v>
      </c>
      <c r="AE56" s="105">
        <f t="shared" si="42"/>
        <v>25.26560952269295</v>
      </c>
      <c r="AF56" s="105">
        <f t="shared" si="43"/>
        <v>56.84762142605914</v>
      </c>
      <c r="AG56" s="105">
        <f t="shared" si="25"/>
        <v>146.22337838343242</v>
      </c>
      <c r="AH56" s="106">
        <f t="shared" si="26"/>
        <v>2156.4977109604915</v>
      </c>
      <c r="AI56" s="95">
        <f t="shared" si="44"/>
        <v>2843.5022890395085</v>
      </c>
      <c r="AK56" s="4">
        <f t="shared" si="15"/>
        <v>0</v>
      </c>
      <c r="AL56" s="4">
        <f t="shared" si="16"/>
        <v>0</v>
      </c>
      <c r="AM56" s="4">
        <f t="shared" si="45"/>
        <v>1</v>
      </c>
      <c r="AN56" s="4">
        <f t="shared" si="27"/>
        <v>0</v>
      </c>
      <c r="AO56" s="4">
        <f t="shared" si="28"/>
        <v>1</v>
      </c>
    </row>
    <row r="57" spans="2:41" ht="12.75">
      <c r="B57" s="10"/>
      <c r="C57" s="10"/>
      <c r="D57" s="10"/>
      <c r="E57" s="10"/>
      <c r="F57" s="10"/>
      <c r="G57" s="10"/>
      <c r="H57" s="107">
        <f t="shared" si="29"/>
        <v>47</v>
      </c>
      <c r="I57" s="98">
        <f ca="1" t="shared" si="46"/>
        <v>-0.09396055156194141</v>
      </c>
      <c r="J57" s="99"/>
      <c r="K57" s="97">
        <f t="shared" si="30"/>
        <v>364.2225518644857</v>
      </c>
      <c r="L57" s="70">
        <f t="shared" si="31"/>
        <v>1996640.5718424772</v>
      </c>
      <c r="M57" s="70">
        <f t="shared" si="32"/>
        <v>1996640.571842481</v>
      </c>
      <c r="N57" s="100">
        <f t="shared" si="19"/>
        <v>727.221524232633</v>
      </c>
      <c r="O57" s="28"/>
      <c r="P57" s="97">
        <f t="shared" si="33"/>
        <v>364.2225518644857</v>
      </c>
      <c r="Q57" s="70">
        <f t="shared" si="34"/>
        <v>1996640.5718424772</v>
      </c>
      <c r="R57" s="70">
        <f t="shared" si="35"/>
        <v>1996640.571842481</v>
      </c>
      <c r="S57" s="70">
        <f t="shared" si="20"/>
        <v>727.221524232633</v>
      </c>
      <c r="T57" s="101">
        <f t="shared" si="36"/>
        <v>3.725290298461914E-09</v>
      </c>
      <c r="U57" s="102">
        <f t="shared" si="37"/>
        <v>0</v>
      </c>
      <c r="V57" s="103"/>
      <c r="W57" s="97">
        <f t="shared" si="38"/>
        <v>364.2225518644857</v>
      </c>
      <c r="X57" s="70">
        <f t="shared" si="39"/>
        <v>1996640.5718424772</v>
      </c>
      <c r="Y57" s="70">
        <f t="shared" si="40"/>
        <v>1996640.571842481</v>
      </c>
      <c r="Z57" s="70">
        <f t="shared" si="21"/>
        <v>727.221524232633</v>
      </c>
      <c r="AA57" s="68">
        <f t="shared" si="22"/>
        <v>-3.725290298461914E-09</v>
      </c>
      <c r="AB57" s="101">
        <f t="shared" si="23"/>
        <v>2526560.9522692915</v>
      </c>
      <c r="AC57" s="104">
        <f t="shared" si="24"/>
        <v>-1.3568347389418098E-12</v>
      </c>
      <c r="AD57" s="104">
        <f t="shared" si="41"/>
        <v>9.313225746154786E-14</v>
      </c>
      <c r="AE57" s="105">
        <f t="shared" si="42"/>
        <v>25.265609522692916</v>
      </c>
      <c r="AF57" s="105">
        <f t="shared" si="43"/>
        <v>69.01728581075149</v>
      </c>
      <c r="AG57" s="105">
        <f t="shared" si="25"/>
        <v>94.28289533344314</v>
      </c>
      <c r="AH57" s="106">
        <f t="shared" si="26"/>
        <v>2250.780606293935</v>
      </c>
      <c r="AI57" s="95">
        <f t="shared" si="44"/>
        <v>2749.219393706065</v>
      </c>
      <c r="AK57" s="4">
        <f t="shared" si="15"/>
        <v>0</v>
      </c>
      <c r="AL57" s="4">
        <f t="shared" si="16"/>
        <v>0</v>
      </c>
      <c r="AM57" s="4">
        <f t="shared" si="45"/>
        <v>1</v>
      </c>
      <c r="AN57" s="4">
        <f t="shared" si="27"/>
        <v>1</v>
      </c>
      <c r="AO57" s="4">
        <f t="shared" si="28"/>
        <v>0</v>
      </c>
    </row>
    <row r="58" spans="2:41" ht="12.75">
      <c r="B58" s="10"/>
      <c r="C58" s="10"/>
      <c r="D58" s="10"/>
      <c r="E58" s="10"/>
      <c r="F58" s="10"/>
      <c r="G58" s="10"/>
      <c r="H58" s="107">
        <f t="shared" si="29"/>
        <v>48</v>
      </c>
      <c r="I58" s="98">
        <f ca="1" t="shared" si="46"/>
        <v>0.17592560343947777</v>
      </c>
      <c r="J58" s="99"/>
      <c r="K58" s="97">
        <f t="shared" si="30"/>
        <v>280.62999821993844</v>
      </c>
      <c r="L58" s="70">
        <f t="shared" si="31"/>
        <v>2274658.79971782</v>
      </c>
      <c r="M58" s="70">
        <f t="shared" si="32"/>
        <v>2274658.79971782</v>
      </c>
      <c r="N58" s="100">
        <f t="shared" si="19"/>
        <v>638.3374949157791</v>
      </c>
      <c r="O58" s="28"/>
      <c r="P58" s="97">
        <f t="shared" si="33"/>
        <v>280.62999821993844</v>
      </c>
      <c r="Q58" s="70">
        <f t="shared" si="34"/>
        <v>2274658.79971782</v>
      </c>
      <c r="R58" s="70">
        <f t="shared" si="35"/>
        <v>2274658.79971782</v>
      </c>
      <c r="S58" s="70">
        <f t="shared" si="20"/>
        <v>638.3374949157791</v>
      </c>
      <c r="T58" s="101">
        <f t="shared" si="36"/>
        <v>0</v>
      </c>
      <c r="U58" s="102">
        <f t="shared" si="37"/>
        <v>0</v>
      </c>
      <c r="V58" s="103"/>
      <c r="W58" s="97">
        <f t="shared" si="38"/>
        <v>300</v>
      </c>
      <c r="X58" s="70">
        <f t="shared" si="39"/>
        <v>2351851.2068789555</v>
      </c>
      <c r="Y58" s="70">
        <f t="shared" si="40"/>
        <v>2200000.0000000047</v>
      </c>
      <c r="Z58" s="70">
        <f t="shared" si="21"/>
        <v>705.5553620636866</v>
      </c>
      <c r="AA58" s="68">
        <f t="shared" si="22"/>
        <v>151851.20687895082</v>
      </c>
      <c r="AB58" s="101">
        <f t="shared" si="23"/>
        <v>2678412.1591482423</v>
      </c>
      <c r="AC58" s="104">
        <f t="shared" si="24"/>
        <v>45.555362063685244</v>
      </c>
      <c r="AD58" s="104">
        <f t="shared" si="41"/>
        <v>3.7962801719737707</v>
      </c>
      <c r="AE58" s="105">
        <f t="shared" si="42"/>
        <v>26.784121591482425</v>
      </c>
      <c r="AF58" s="105">
        <f t="shared" si="43"/>
        <v>60.264273580835464</v>
      </c>
      <c r="AG58" s="105">
        <f t="shared" si="25"/>
        <v>136.4000374079769</v>
      </c>
      <c r="AH58" s="106">
        <f t="shared" si="26"/>
        <v>2387.180643701912</v>
      </c>
      <c r="AI58" s="95">
        <f t="shared" si="44"/>
        <v>2612.819356298088</v>
      </c>
      <c r="AK58" s="4">
        <f t="shared" si="15"/>
        <v>0</v>
      </c>
      <c r="AL58" s="4">
        <f t="shared" si="16"/>
        <v>0</v>
      </c>
      <c r="AM58" s="4">
        <f t="shared" si="45"/>
        <v>1</v>
      </c>
      <c r="AN58" s="4">
        <f t="shared" si="27"/>
        <v>0</v>
      </c>
      <c r="AO58" s="4">
        <f t="shared" si="28"/>
        <v>1</v>
      </c>
    </row>
    <row r="59" spans="2:41" ht="12.75">
      <c r="B59" s="10"/>
      <c r="C59" s="10"/>
      <c r="D59" s="10"/>
      <c r="E59" s="10"/>
      <c r="F59" s="10"/>
      <c r="G59" s="10"/>
      <c r="H59" s="107">
        <f t="shared" si="29"/>
        <v>49</v>
      </c>
      <c r="I59" s="98">
        <f ca="1" t="shared" si="46"/>
        <v>0.21996415812048475</v>
      </c>
      <c r="J59" s="99"/>
      <c r="K59" s="97">
        <f t="shared" si="30"/>
        <v>270.4997501798818</v>
      </c>
      <c r="L59" s="70">
        <f t="shared" si="31"/>
        <v>2316860.439415839</v>
      </c>
      <c r="M59" s="70">
        <f t="shared" si="32"/>
        <v>2316860.439415835</v>
      </c>
      <c r="N59" s="100">
        <f t="shared" si="19"/>
        <v>626.7101700636356</v>
      </c>
      <c r="O59" s="28"/>
      <c r="P59" s="97">
        <f t="shared" si="33"/>
        <v>270.4997501798818</v>
      </c>
      <c r="Q59" s="70">
        <f t="shared" si="34"/>
        <v>2316860.439415839</v>
      </c>
      <c r="R59" s="70">
        <f t="shared" si="35"/>
        <v>2316860.439415835</v>
      </c>
      <c r="S59" s="70">
        <f t="shared" si="20"/>
        <v>626.7101700636356</v>
      </c>
      <c r="T59" s="101">
        <f t="shared" si="36"/>
        <v>-4.190951585769653E-09</v>
      </c>
      <c r="U59" s="102">
        <f t="shared" si="37"/>
        <v>0</v>
      </c>
      <c r="V59" s="103"/>
      <c r="W59" s="97">
        <f t="shared" si="38"/>
        <v>300</v>
      </c>
      <c r="X59" s="70">
        <f t="shared" si="39"/>
        <v>2439928.31624097</v>
      </c>
      <c r="Y59" s="70">
        <f t="shared" si="40"/>
        <v>2200000.0000000047</v>
      </c>
      <c r="Z59" s="70">
        <f t="shared" si="21"/>
        <v>731.978494872291</v>
      </c>
      <c r="AA59" s="68">
        <f t="shared" si="22"/>
        <v>239928.3162409654</v>
      </c>
      <c r="AB59" s="101">
        <f t="shared" si="23"/>
        <v>2918340.4753892077</v>
      </c>
      <c r="AC59" s="104">
        <f t="shared" si="24"/>
        <v>71.97849487228962</v>
      </c>
      <c r="AD59" s="104">
        <f t="shared" si="41"/>
        <v>5.998207906024135</v>
      </c>
      <c r="AE59" s="105">
        <f t="shared" si="42"/>
        <v>29.18340475389208</v>
      </c>
      <c r="AF59" s="105">
        <f t="shared" si="43"/>
        <v>65.66266069625718</v>
      </c>
      <c r="AG59" s="105">
        <f t="shared" si="25"/>
        <v>172.82276822846302</v>
      </c>
      <c r="AH59" s="106">
        <f t="shared" si="26"/>
        <v>2560.0034119303746</v>
      </c>
      <c r="AI59" s="95">
        <f t="shared" si="44"/>
        <v>2439.9965880696254</v>
      </c>
      <c r="AK59" s="4">
        <f t="shared" si="15"/>
        <v>0</v>
      </c>
      <c r="AL59" s="4">
        <f t="shared" si="16"/>
        <v>0</v>
      </c>
      <c r="AM59" s="4">
        <f t="shared" si="45"/>
        <v>1</v>
      </c>
      <c r="AN59" s="4">
        <f t="shared" si="27"/>
        <v>0</v>
      </c>
      <c r="AO59" s="4">
        <f t="shared" si="28"/>
        <v>1</v>
      </c>
    </row>
    <row r="60" spans="2:41" ht="12.75">
      <c r="B60" s="10"/>
      <c r="C60" s="10"/>
      <c r="D60" s="10"/>
      <c r="E60" s="10"/>
      <c r="F60" s="10"/>
      <c r="G60" s="10"/>
      <c r="H60" s="107">
        <f t="shared" si="29"/>
        <v>50</v>
      </c>
      <c r="I60" s="98">
        <f ca="1" t="shared" si="46"/>
        <v>-0.2401603103437702</v>
      </c>
      <c r="J60" s="99"/>
      <c r="K60" s="97">
        <f t="shared" si="30"/>
        <v>434.30213569035993</v>
      </c>
      <c r="L60" s="70">
        <f t="shared" si="31"/>
        <v>1828467.8379691083</v>
      </c>
      <c r="M60" s="70">
        <f t="shared" si="32"/>
        <v>1828467.837969105</v>
      </c>
      <c r="N60" s="100">
        <f t="shared" si="19"/>
        <v>794.1074870711187</v>
      </c>
      <c r="O60" s="28"/>
      <c r="P60" s="97">
        <f t="shared" si="33"/>
        <v>400</v>
      </c>
      <c r="Q60" s="70">
        <f t="shared" si="34"/>
        <v>1754774.5974559435</v>
      </c>
      <c r="R60" s="70">
        <f t="shared" si="35"/>
        <v>1905255.8883257702</v>
      </c>
      <c r="S60" s="70">
        <f t="shared" si="20"/>
        <v>701.9098389823774</v>
      </c>
      <c r="T60" s="101">
        <f t="shared" si="36"/>
        <v>150481.29086982668</v>
      </c>
      <c r="U60" s="102">
        <f t="shared" si="37"/>
        <v>0</v>
      </c>
      <c r="V60" s="103"/>
      <c r="W60" s="97">
        <f t="shared" si="38"/>
        <v>400</v>
      </c>
      <c r="X60" s="70">
        <f t="shared" si="39"/>
        <v>1754774.5974559435</v>
      </c>
      <c r="Y60" s="70">
        <f t="shared" si="40"/>
        <v>1905255.8883257702</v>
      </c>
      <c r="Z60" s="70">
        <f t="shared" si="21"/>
        <v>701.9098389823774</v>
      </c>
      <c r="AA60" s="68">
        <f t="shared" si="22"/>
        <v>-150481.29086982668</v>
      </c>
      <c r="AB60" s="101">
        <f t="shared" si="23"/>
        <v>2767859.1845193813</v>
      </c>
      <c r="AC60" s="104">
        <f t="shared" si="24"/>
        <v>-60.19251634793067</v>
      </c>
      <c r="AD60" s="104">
        <f t="shared" si="41"/>
        <v>3.762032271745667</v>
      </c>
      <c r="AE60" s="105">
        <f t="shared" si="42"/>
        <v>27.67859184519381</v>
      </c>
      <c r="AF60" s="105">
        <f t="shared" si="43"/>
        <v>83.03577553558145</v>
      </c>
      <c r="AG60" s="105">
        <f t="shared" si="25"/>
        <v>54.28388330459026</v>
      </c>
      <c r="AH60" s="106">
        <f t="shared" si="26"/>
        <v>2614.287295234965</v>
      </c>
      <c r="AI60" s="95">
        <f t="shared" si="44"/>
        <v>2385.712704765035</v>
      </c>
      <c r="AK60" s="4">
        <f t="shared" si="15"/>
        <v>0</v>
      </c>
      <c r="AL60" s="4">
        <f t="shared" si="16"/>
        <v>0</v>
      </c>
      <c r="AM60" s="4">
        <f t="shared" si="45"/>
        <v>1</v>
      </c>
      <c r="AN60" s="4">
        <f t="shared" si="27"/>
        <v>1</v>
      </c>
      <c r="AO60" s="4">
        <f t="shared" si="28"/>
        <v>0</v>
      </c>
    </row>
    <row r="61" spans="2:41" ht="12.75">
      <c r="B61" s="10"/>
      <c r="C61" s="10"/>
      <c r="D61" s="10"/>
      <c r="E61" s="10"/>
      <c r="F61" s="10"/>
      <c r="G61" s="10"/>
      <c r="H61" s="107">
        <f t="shared" si="29"/>
        <v>51</v>
      </c>
      <c r="I61" s="98">
        <f ca="1" t="shared" si="46"/>
        <v>-0.3758435445571</v>
      </c>
      <c r="J61" s="99"/>
      <c r="K61" s="97">
        <f t="shared" si="30"/>
        <v>528.7135895531732</v>
      </c>
      <c r="L61" s="70">
        <f t="shared" si="31"/>
        <v>1657192.9290063875</v>
      </c>
      <c r="M61" s="70">
        <f t="shared" si="32"/>
        <v>1657192.9290063875</v>
      </c>
      <c r="N61" s="100">
        <f t="shared" si="19"/>
        <v>876.180422077104</v>
      </c>
      <c r="O61" s="28"/>
      <c r="P61" s="97">
        <f t="shared" si="33"/>
        <v>400</v>
      </c>
      <c r="Q61" s="70">
        <f t="shared" si="34"/>
        <v>1441427.5902656026</v>
      </c>
      <c r="R61" s="70">
        <f t="shared" si="35"/>
        <v>1905255.8883257702</v>
      </c>
      <c r="S61" s="70">
        <f t="shared" si="20"/>
        <v>576.571036106241</v>
      </c>
      <c r="T61" s="101">
        <f t="shared" si="36"/>
        <v>463828.2980601676</v>
      </c>
      <c r="U61" s="102">
        <f t="shared" si="37"/>
        <v>0</v>
      </c>
      <c r="V61" s="103"/>
      <c r="W61" s="97">
        <f t="shared" si="38"/>
        <v>400</v>
      </c>
      <c r="X61" s="70">
        <f t="shared" si="39"/>
        <v>1441427.5902656026</v>
      </c>
      <c r="Y61" s="70">
        <f t="shared" si="40"/>
        <v>1905255.8883257702</v>
      </c>
      <c r="Z61" s="70">
        <f t="shared" si="21"/>
        <v>576.571036106241</v>
      </c>
      <c r="AA61" s="68">
        <f t="shared" si="22"/>
        <v>-463828.2980601676</v>
      </c>
      <c r="AB61" s="101">
        <f t="shared" si="23"/>
        <v>2304030.8864592137</v>
      </c>
      <c r="AC61" s="104">
        <f t="shared" si="24"/>
        <v>-185.53131922406703</v>
      </c>
      <c r="AD61" s="104">
        <f t="shared" si="41"/>
        <v>11.59570745150419</v>
      </c>
      <c r="AE61" s="105">
        <f t="shared" si="42"/>
        <v>23.040308864592134</v>
      </c>
      <c r="AF61" s="105">
        <f t="shared" si="43"/>
        <v>69.12092659377642</v>
      </c>
      <c r="AG61" s="105">
        <f t="shared" si="25"/>
        <v>-81.7743763141943</v>
      </c>
      <c r="AH61" s="106">
        <f t="shared" si="26"/>
        <v>2532.5129189207705</v>
      </c>
      <c r="AI61" s="95">
        <f t="shared" si="44"/>
        <v>2467.4870810792295</v>
      </c>
      <c r="AK61" s="4">
        <f t="shared" si="15"/>
        <v>0</v>
      </c>
      <c r="AL61" s="4">
        <f t="shared" si="16"/>
        <v>0</v>
      </c>
      <c r="AM61" s="4">
        <f t="shared" si="45"/>
        <v>1</v>
      </c>
      <c r="AN61" s="4">
        <f t="shared" si="27"/>
        <v>1</v>
      </c>
      <c r="AO61" s="4">
        <f t="shared" si="28"/>
        <v>0</v>
      </c>
    </row>
    <row r="62" spans="2:41" ht="12.75">
      <c r="B62" s="10"/>
      <c r="C62" s="10"/>
      <c r="D62" s="10"/>
      <c r="E62" s="10"/>
      <c r="F62" s="10"/>
      <c r="G62" s="10"/>
      <c r="H62" s="107">
        <f t="shared" si="29"/>
        <v>52</v>
      </c>
      <c r="I62" s="98">
        <f ca="1" t="shared" si="46"/>
        <v>0.1868074036779669</v>
      </c>
      <c r="J62" s="99"/>
      <c r="K62" s="97">
        <f t="shared" si="30"/>
        <v>278.05691047874876</v>
      </c>
      <c r="L62" s="70">
        <f t="shared" si="31"/>
        <v>2285159.2014962668</v>
      </c>
      <c r="M62" s="70">
        <f t="shared" si="32"/>
        <v>2285159.2014962668</v>
      </c>
      <c r="N62" s="100">
        <f t="shared" si="19"/>
        <v>635.4043075201365</v>
      </c>
      <c r="O62" s="28"/>
      <c r="P62" s="97">
        <f t="shared" si="33"/>
        <v>278.05691047874876</v>
      </c>
      <c r="Q62" s="70">
        <f t="shared" si="34"/>
        <v>2285159.2014962668</v>
      </c>
      <c r="R62" s="70">
        <f t="shared" si="35"/>
        <v>2285159.2014962668</v>
      </c>
      <c r="S62" s="70">
        <f t="shared" si="20"/>
        <v>635.4043075201365</v>
      </c>
      <c r="T62" s="101">
        <f t="shared" si="36"/>
        <v>0</v>
      </c>
      <c r="U62" s="102">
        <f t="shared" si="37"/>
        <v>0</v>
      </c>
      <c r="V62" s="103"/>
      <c r="W62" s="97">
        <f t="shared" si="38"/>
        <v>300</v>
      </c>
      <c r="X62" s="70">
        <f t="shared" si="39"/>
        <v>2373614.807355934</v>
      </c>
      <c r="Y62" s="70">
        <f t="shared" si="40"/>
        <v>2200000.0000000047</v>
      </c>
      <c r="Z62" s="70">
        <f t="shared" si="21"/>
        <v>712.0844422067802</v>
      </c>
      <c r="AA62" s="68">
        <f t="shared" si="22"/>
        <v>173614.80735592917</v>
      </c>
      <c r="AB62" s="101">
        <f t="shared" si="23"/>
        <v>2477645.693815143</v>
      </c>
      <c r="AC62" s="104">
        <f t="shared" si="24"/>
        <v>52.08444220677875</v>
      </c>
      <c r="AD62" s="104">
        <f t="shared" si="41"/>
        <v>4.340370183898229</v>
      </c>
      <c r="AE62" s="105">
        <f t="shared" si="42"/>
        <v>24.776456938151426</v>
      </c>
      <c r="AF62" s="105">
        <f t="shared" si="43"/>
        <v>55.747028110840716</v>
      </c>
      <c r="AG62" s="105">
        <f t="shared" si="25"/>
        <v>136.94829743966912</v>
      </c>
      <c r="AH62" s="106">
        <f t="shared" si="26"/>
        <v>2669.4612163604397</v>
      </c>
      <c r="AI62" s="95">
        <f t="shared" si="44"/>
        <v>2330.5387836395603</v>
      </c>
      <c r="AK62" s="4">
        <f t="shared" si="15"/>
        <v>0</v>
      </c>
      <c r="AL62" s="4">
        <f t="shared" si="16"/>
        <v>0</v>
      </c>
      <c r="AM62" s="4">
        <f t="shared" si="45"/>
        <v>1</v>
      </c>
      <c r="AN62" s="4">
        <f t="shared" si="27"/>
        <v>0</v>
      </c>
      <c r="AO62" s="4">
        <f t="shared" si="28"/>
        <v>1</v>
      </c>
    </row>
    <row r="63" spans="2:41" ht="12.75">
      <c r="B63" s="10"/>
      <c r="C63" s="10"/>
      <c r="D63" s="10"/>
      <c r="E63" s="10"/>
      <c r="F63" s="10"/>
      <c r="G63" s="10"/>
      <c r="H63" s="107">
        <f t="shared" si="29"/>
        <v>53</v>
      </c>
      <c r="I63" s="98">
        <f ca="1" t="shared" si="46"/>
        <v>-0.34456003440431426</v>
      </c>
      <c r="J63" s="99"/>
      <c r="K63" s="97">
        <f t="shared" si="30"/>
        <v>503.4786057027905</v>
      </c>
      <c r="L63" s="70">
        <f t="shared" si="31"/>
        <v>1698215.4894538627</v>
      </c>
      <c r="M63" s="70">
        <f t="shared" si="32"/>
        <v>1698215.4894538627</v>
      </c>
      <c r="N63" s="100">
        <f t="shared" si="19"/>
        <v>855.0151668131127</v>
      </c>
      <c r="O63" s="28"/>
      <c r="P63" s="97">
        <f t="shared" si="33"/>
        <v>400</v>
      </c>
      <c r="Q63" s="70">
        <f t="shared" si="34"/>
        <v>1513673.7622972315</v>
      </c>
      <c r="R63" s="70">
        <f t="shared" si="35"/>
        <v>1905255.8883257702</v>
      </c>
      <c r="S63" s="70">
        <f t="shared" si="20"/>
        <v>605.4695049188927</v>
      </c>
      <c r="T63" s="101">
        <f t="shared" si="36"/>
        <v>391582.1260285387</v>
      </c>
      <c r="U63" s="102">
        <f t="shared" si="37"/>
        <v>0</v>
      </c>
      <c r="V63" s="103"/>
      <c r="W63" s="97">
        <f t="shared" si="38"/>
        <v>400</v>
      </c>
      <c r="X63" s="70">
        <f t="shared" si="39"/>
        <v>1513673.7622972315</v>
      </c>
      <c r="Y63" s="70">
        <f t="shared" si="40"/>
        <v>1905255.8883257702</v>
      </c>
      <c r="Z63" s="70">
        <f t="shared" si="21"/>
        <v>605.4695049188927</v>
      </c>
      <c r="AA63" s="68">
        <f t="shared" si="22"/>
        <v>-391582.1260285387</v>
      </c>
      <c r="AB63" s="101">
        <f t="shared" si="23"/>
        <v>2086063.5677866042</v>
      </c>
      <c r="AC63" s="104">
        <f t="shared" si="24"/>
        <v>-156.63285041141546</v>
      </c>
      <c r="AD63" s="104">
        <f t="shared" si="41"/>
        <v>9.789553150713466</v>
      </c>
      <c r="AE63" s="105">
        <f t="shared" si="42"/>
        <v>20.860635677866043</v>
      </c>
      <c r="AF63" s="105">
        <f t="shared" si="43"/>
        <v>62.58190703359813</v>
      </c>
      <c r="AG63" s="105">
        <f t="shared" si="25"/>
        <v>-63.40075454923783</v>
      </c>
      <c r="AH63" s="106">
        <f t="shared" si="26"/>
        <v>2606.060461811202</v>
      </c>
      <c r="AI63" s="95">
        <f t="shared" si="44"/>
        <v>2393.939538188798</v>
      </c>
      <c r="AK63" s="4">
        <f t="shared" si="15"/>
        <v>0</v>
      </c>
      <c r="AL63" s="4">
        <f t="shared" si="16"/>
        <v>0</v>
      </c>
      <c r="AM63" s="4">
        <f t="shared" si="45"/>
        <v>1</v>
      </c>
      <c r="AN63" s="4">
        <f t="shared" si="27"/>
        <v>1</v>
      </c>
      <c r="AO63" s="4">
        <f t="shared" si="28"/>
        <v>0</v>
      </c>
    </row>
    <row r="64" spans="2:41" ht="12.75">
      <c r="B64" s="10"/>
      <c r="C64" s="10"/>
      <c r="D64" s="10"/>
      <c r="E64" s="10"/>
      <c r="F64" s="10"/>
      <c r="G64" s="10"/>
      <c r="H64" s="107">
        <f t="shared" si="29"/>
        <v>54</v>
      </c>
      <c r="I64" s="98">
        <f ca="1" t="shared" si="46"/>
        <v>-0.27526285649339455</v>
      </c>
      <c r="J64" s="99"/>
      <c r="K64" s="97">
        <f t="shared" si="30"/>
        <v>455.3375012674412</v>
      </c>
      <c r="L64" s="70">
        <f t="shared" si="31"/>
        <v>1785733.3035560127</v>
      </c>
      <c r="M64" s="70">
        <f t="shared" si="32"/>
        <v>1785733.3035560127</v>
      </c>
      <c r="N64" s="100">
        <f t="shared" si="19"/>
        <v>813.1113403712479</v>
      </c>
      <c r="O64" s="28"/>
      <c r="P64" s="97">
        <f t="shared" si="33"/>
        <v>400</v>
      </c>
      <c r="Q64" s="70">
        <f t="shared" si="34"/>
        <v>1673708.7395810355</v>
      </c>
      <c r="R64" s="70">
        <f t="shared" si="35"/>
        <v>1905255.8883257702</v>
      </c>
      <c r="S64" s="70">
        <f t="shared" si="20"/>
        <v>669.4834958324142</v>
      </c>
      <c r="T64" s="101">
        <f t="shared" si="36"/>
        <v>231547.1487447347</v>
      </c>
      <c r="U64" s="102">
        <f t="shared" si="37"/>
        <v>0</v>
      </c>
      <c r="V64" s="103"/>
      <c r="W64" s="97">
        <f t="shared" si="38"/>
        <v>400</v>
      </c>
      <c r="X64" s="70">
        <f t="shared" si="39"/>
        <v>1673708.7395810355</v>
      </c>
      <c r="Y64" s="70">
        <f t="shared" si="40"/>
        <v>1905255.8883257702</v>
      </c>
      <c r="Z64" s="70">
        <f t="shared" si="21"/>
        <v>669.4834958324142</v>
      </c>
      <c r="AA64" s="68">
        <f t="shared" si="22"/>
        <v>-231547.1487447347</v>
      </c>
      <c r="AB64" s="101">
        <f t="shared" si="23"/>
        <v>1854516.4190418695</v>
      </c>
      <c r="AC64" s="104">
        <f t="shared" si="24"/>
        <v>-92.61885949789388</v>
      </c>
      <c r="AD64" s="104">
        <f t="shared" si="41"/>
        <v>5.7886787186183675</v>
      </c>
      <c r="AE64" s="105">
        <f t="shared" si="42"/>
        <v>18.545164190418696</v>
      </c>
      <c r="AF64" s="105">
        <f t="shared" si="43"/>
        <v>55.63549257125609</v>
      </c>
      <c r="AG64" s="105">
        <f t="shared" si="25"/>
        <v>-12.649524017600733</v>
      </c>
      <c r="AH64" s="106">
        <f t="shared" si="26"/>
        <v>2593.410937793601</v>
      </c>
      <c r="AI64" s="95">
        <f t="shared" si="44"/>
        <v>2406.589062206399</v>
      </c>
      <c r="AK64" s="4">
        <f t="shared" si="15"/>
        <v>0</v>
      </c>
      <c r="AL64" s="4">
        <f t="shared" si="16"/>
        <v>0</v>
      </c>
      <c r="AM64" s="4">
        <f t="shared" si="45"/>
        <v>1</v>
      </c>
      <c r="AN64" s="4">
        <f t="shared" si="27"/>
        <v>1</v>
      </c>
      <c r="AO64" s="4">
        <f t="shared" si="28"/>
        <v>0</v>
      </c>
    </row>
    <row r="65" spans="2:41" ht="12.75">
      <c r="B65" s="10"/>
      <c r="C65" s="10"/>
      <c r="D65" s="10"/>
      <c r="E65" s="10"/>
      <c r="F65" s="10"/>
      <c r="G65" s="10"/>
      <c r="H65" s="107">
        <f t="shared" si="29"/>
        <v>55</v>
      </c>
      <c r="I65" s="98">
        <f ca="1" t="shared" si="46"/>
        <v>-0.35435024702551604</v>
      </c>
      <c r="J65" s="99"/>
      <c r="K65" s="97">
        <f t="shared" si="30"/>
        <v>511.1130275814451</v>
      </c>
      <c r="L65" s="70">
        <f t="shared" si="31"/>
        <v>1685484.7709450636</v>
      </c>
      <c r="M65" s="70">
        <f t="shared" si="32"/>
        <v>1685484.7709450636</v>
      </c>
      <c r="N65" s="100">
        <f t="shared" si="19"/>
        <v>861.47322422015</v>
      </c>
      <c r="O65" s="28"/>
      <c r="P65" s="97">
        <f t="shared" si="33"/>
        <v>400</v>
      </c>
      <c r="Q65" s="70">
        <f t="shared" si="34"/>
        <v>1491064.2347281328</v>
      </c>
      <c r="R65" s="70">
        <f t="shared" si="35"/>
        <v>1905255.8883257702</v>
      </c>
      <c r="S65" s="70">
        <f t="shared" si="20"/>
        <v>596.4256938912531</v>
      </c>
      <c r="T65" s="101">
        <f t="shared" si="36"/>
        <v>414191.6535976373</v>
      </c>
      <c r="U65" s="102">
        <f t="shared" si="37"/>
        <v>0</v>
      </c>
      <c r="V65" s="103"/>
      <c r="W65" s="97">
        <f t="shared" si="38"/>
        <v>400</v>
      </c>
      <c r="X65" s="70">
        <f t="shared" si="39"/>
        <v>1491064.2347281328</v>
      </c>
      <c r="Y65" s="70">
        <f t="shared" si="40"/>
        <v>1905255.8883257702</v>
      </c>
      <c r="Z65" s="70">
        <f t="shared" si="21"/>
        <v>596.4256938912531</v>
      </c>
      <c r="AA65" s="68">
        <f t="shared" si="22"/>
        <v>-414191.6535976373</v>
      </c>
      <c r="AB65" s="101">
        <f t="shared" si="23"/>
        <v>1440324.7654442322</v>
      </c>
      <c r="AC65" s="104">
        <f t="shared" si="24"/>
        <v>-165.67666143905493</v>
      </c>
      <c r="AD65" s="104">
        <f t="shared" si="41"/>
        <v>10.354791339940933</v>
      </c>
      <c r="AE65" s="105">
        <f t="shared" si="42"/>
        <v>14.403247654442321</v>
      </c>
      <c r="AF65" s="105">
        <f t="shared" si="43"/>
        <v>43.20974296332697</v>
      </c>
      <c r="AG65" s="105">
        <f t="shared" si="25"/>
        <v>-97.70887948134472</v>
      </c>
      <c r="AH65" s="106">
        <f t="shared" si="26"/>
        <v>2495.702058312256</v>
      </c>
      <c r="AI65" s="95">
        <f t="shared" si="44"/>
        <v>2504.297941687744</v>
      </c>
      <c r="AK65" s="4">
        <f t="shared" si="15"/>
        <v>0</v>
      </c>
      <c r="AL65" s="4">
        <f t="shared" si="16"/>
        <v>0</v>
      </c>
      <c r="AM65" s="4">
        <f t="shared" si="45"/>
        <v>1</v>
      </c>
      <c r="AN65" s="4">
        <f t="shared" si="27"/>
        <v>1</v>
      </c>
      <c r="AO65" s="4">
        <f t="shared" si="28"/>
        <v>0</v>
      </c>
    </row>
    <row r="66" spans="2:41" ht="12.75">
      <c r="B66" s="10"/>
      <c r="C66" s="10"/>
      <c r="D66" s="10"/>
      <c r="E66" s="10"/>
      <c r="F66" s="10"/>
      <c r="G66" s="10"/>
      <c r="H66" s="107">
        <f t="shared" si="29"/>
        <v>56</v>
      </c>
      <c r="I66" s="98">
        <f ca="1" t="shared" si="46"/>
        <v>-0.3210388196630759</v>
      </c>
      <c r="J66" s="99"/>
      <c r="K66" s="97">
        <f t="shared" si="30"/>
        <v>486.0366241207535</v>
      </c>
      <c r="L66" s="70">
        <f t="shared" si="31"/>
        <v>1728418.1188249784</v>
      </c>
      <c r="M66" s="70">
        <f t="shared" si="32"/>
        <v>1728418.1188249784</v>
      </c>
      <c r="N66" s="100">
        <f t="shared" si="19"/>
        <v>840.0745075428359</v>
      </c>
      <c r="O66" s="28"/>
      <c r="P66" s="97">
        <f t="shared" si="33"/>
        <v>400</v>
      </c>
      <c r="Q66" s="70">
        <f t="shared" si="34"/>
        <v>1567993.6809473156</v>
      </c>
      <c r="R66" s="70">
        <f t="shared" si="35"/>
        <v>1905255.8883257702</v>
      </c>
      <c r="S66" s="70">
        <f t="shared" si="20"/>
        <v>627.1974723789262</v>
      </c>
      <c r="T66" s="101">
        <f t="shared" si="36"/>
        <v>337262.2073784545</v>
      </c>
      <c r="U66" s="102">
        <f t="shared" si="37"/>
        <v>0</v>
      </c>
      <c r="V66" s="103"/>
      <c r="W66" s="97">
        <f t="shared" si="38"/>
        <v>400</v>
      </c>
      <c r="X66" s="70">
        <f t="shared" si="39"/>
        <v>1567993.6809473156</v>
      </c>
      <c r="Y66" s="70">
        <f t="shared" si="40"/>
        <v>1905255.8883257702</v>
      </c>
      <c r="Z66" s="70">
        <f t="shared" si="21"/>
        <v>627.1974723789262</v>
      </c>
      <c r="AA66" s="68">
        <f t="shared" si="22"/>
        <v>-337262.2073784545</v>
      </c>
      <c r="AB66" s="101">
        <f t="shared" si="23"/>
        <v>1103062.5580657776</v>
      </c>
      <c r="AC66" s="104">
        <f t="shared" si="24"/>
        <v>-134.9048829513818</v>
      </c>
      <c r="AD66" s="104">
        <f t="shared" si="41"/>
        <v>8.431555184461363</v>
      </c>
      <c r="AE66" s="105">
        <f t="shared" si="42"/>
        <v>11.030625580657777</v>
      </c>
      <c r="AF66" s="105">
        <f t="shared" si="43"/>
        <v>33.09187674197333</v>
      </c>
      <c r="AG66" s="105">
        <f t="shared" si="25"/>
        <v>-82.35082544428934</v>
      </c>
      <c r="AH66" s="106">
        <f t="shared" si="26"/>
        <v>2413.3512328679667</v>
      </c>
      <c r="AI66" s="95">
        <f t="shared" si="44"/>
        <v>2586.6487671320333</v>
      </c>
      <c r="AK66" s="4">
        <f t="shared" si="15"/>
        <v>0</v>
      </c>
      <c r="AL66" s="4">
        <f t="shared" si="16"/>
        <v>0</v>
      </c>
      <c r="AM66" s="4">
        <f t="shared" si="45"/>
        <v>1</v>
      </c>
      <c r="AN66" s="4">
        <f t="shared" si="27"/>
        <v>1</v>
      </c>
      <c r="AO66" s="4">
        <f t="shared" si="28"/>
        <v>0</v>
      </c>
    </row>
    <row r="67" spans="2:41" ht="12.75">
      <c r="B67" s="10"/>
      <c r="C67" s="10"/>
      <c r="D67" s="10"/>
      <c r="E67" s="10"/>
      <c r="F67" s="10"/>
      <c r="G67" s="10"/>
      <c r="H67" s="107">
        <f t="shared" si="29"/>
        <v>57</v>
      </c>
      <c r="I67" s="98">
        <f ca="1" t="shared" si="46"/>
        <v>-0.10927887338840096</v>
      </c>
      <c r="J67" s="99"/>
      <c r="K67" s="97">
        <f t="shared" si="30"/>
        <v>370.48632859462657</v>
      </c>
      <c r="L67" s="70">
        <f t="shared" si="31"/>
        <v>1979690.1164301075</v>
      </c>
      <c r="M67" s="70">
        <f t="shared" si="32"/>
        <v>1979690.116430104</v>
      </c>
      <c r="N67" s="100">
        <f t="shared" si="19"/>
        <v>733.4481229912593</v>
      </c>
      <c r="O67" s="28"/>
      <c r="P67" s="97">
        <f t="shared" si="33"/>
        <v>370.48632859462657</v>
      </c>
      <c r="Q67" s="70">
        <f t="shared" si="34"/>
        <v>1979690.1164301075</v>
      </c>
      <c r="R67" s="70">
        <f t="shared" si="35"/>
        <v>1979690.116430104</v>
      </c>
      <c r="S67" s="70">
        <f t="shared" si="20"/>
        <v>733.4481229912593</v>
      </c>
      <c r="T67" s="101">
        <f t="shared" si="36"/>
        <v>-3.4924596548080444E-09</v>
      </c>
      <c r="U67" s="102">
        <f t="shared" si="37"/>
        <v>0</v>
      </c>
      <c r="V67" s="103"/>
      <c r="W67" s="97">
        <f t="shared" si="38"/>
        <v>370.48632859462657</v>
      </c>
      <c r="X67" s="70">
        <f t="shared" si="39"/>
        <v>1979690.1164301075</v>
      </c>
      <c r="Y67" s="70">
        <f t="shared" si="40"/>
        <v>1979690.116430104</v>
      </c>
      <c r="Z67" s="70">
        <f t="shared" si="21"/>
        <v>733.4481229912593</v>
      </c>
      <c r="AA67" s="68">
        <f t="shared" si="22"/>
        <v>3.4924596548080444E-09</v>
      </c>
      <c r="AB67" s="101">
        <f t="shared" si="23"/>
        <v>1103062.5580657811</v>
      </c>
      <c r="AC67" s="104">
        <f t="shared" si="24"/>
        <v>1.2939085552746893E-12</v>
      </c>
      <c r="AD67" s="104">
        <f t="shared" si="41"/>
        <v>8.731149137020111E-14</v>
      </c>
      <c r="AE67" s="105">
        <f t="shared" si="42"/>
        <v>11.030625580657812</v>
      </c>
      <c r="AF67" s="105">
        <f t="shared" si="43"/>
        <v>30.65021980109913</v>
      </c>
      <c r="AG67" s="105">
        <f t="shared" si="25"/>
        <v>41.680845381758324</v>
      </c>
      <c r="AH67" s="106">
        <f t="shared" si="26"/>
        <v>2455.032078249725</v>
      </c>
      <c r="AI67" s="95">
        <f t="shared" si="44"/>
        <v>2544.967921750275</v>
      </c>
      <c r="AK67" s="4">
        <f t="shared" si="15"/>
        <v>0</v>
      </c>
      <c r="AL67" s="4">
        <f t="shared" si="16"/>
        <v>0</v>
      </c>
      <c r="AM67" s="4">
        <f t="shared" si="45"/>
        <v>1</v>
      </c>
      <c r="AN67" s="4">
        <f t="shared" si="27"/>
        <v>0</v>
      </c>
      <c r="AO67" s="4">
        <f t="shared" si="28"/>
        <v>1</v>
      </c>
    </row>
    <row r="68" spans="2:41" ht="12.75">
      <c r="B68" s="10"/>
      <c r="C68" s="10"/>
      <c r="D68" s="10"/>
      <c r="E68" s="10"/>
      <c r="F68" s="10"/>
      <c r="G68" s="10"/>
      <c r="H68" s="107">
        <f t="shared" si="29"/>
        <v>58</v>
      </c>
      <c r="I68" s="98">
        <f ca="1" t="shared" si="46"/>
        <v>-0.45830266105162826</v>
      </c>
      <c r="J68" s="99"/>
      <c r="K68" s="97">
        <f t="shared" si="30"/>
        <v>609.196273034401</v>
      </c>
      <c r="L68" s="70">
        <f t="shared" si="31"/>
        <v>1543848.5325228113</v>
      </c>
      <c r="M68" s="70">
        <f t="shared" si="32"/>
        <v>1543848.5325228113</v>
      </c>
      <c r="N68" s="100">
        <f t="shared" si="19"/>
        <v>940.5067721425258</v>
      </c>
      <c r="O68" s="28"/>
      <c r="P68" s="97">
        <f t="shared" si="33"/>
        <v>400</v>
      </c>
      <c r="Q68" s="70">
        <f t="shared" si="34"/>
        <v>1250996.4178445835</v>
      </c>
      <c r="R68" s="70">
        <f t="shared" si="35"/>
        <v>1905255.8883257702</v>
      </c>
      <c r="S68" s="70">
        <f t="shared" si="20"/>
        <v>500.3985671378334</v>
      </c>
      <c r="T68" s="101">
        <f t="shared" si="36"/>
        <v>654259.4704811866</v>
      </c>
      <c r="U68" s="102">
        <f t="shared" si="37"/>
        <v>0</v>
      </c>
      <c r="V68" s="103"/>
      <c r="W68" s="97">
        <f t="shared" si="38"/>
        <v>400</v>
      </c>
      <c r="X68" s="70">
        <f t="shared" si="39"/>
        <v>1250996.4178445835</v>
      </c>
      <c r="Y68" s="70">
        <f t="shared" si="40"/>
        <v>1905255.8883257702</v>
      </c>
      <c r="Z68" s="70">
        <f t="shared" si="21"/>
        <v>500.3985671378334</v>
      </c>
      <c r="AA68" s="68">
        <f t="shared" si="22"/>
        <v>-654259.4704811866</v>
      </c>
      <c r="AB68" s="101">
        <f t="shared" si="23"/>
        <v>448803.0875845945</v>
      </c>
      <c r="AC68" s="104">
        <f t="shared" si="24"/>
        <v>-261.7037881924747</v>
      </c>
      <c r="AD68" s="104">
        <f t="shared" si="41"/>
        <v>16.356486762029668</v>
      </c>
      <c r="AE68" s="105">
        <f t="shared" si="42"/>
        <v>4.488030875845944</v>
      </c>
      <c r="AF68" s="105">
        <f t="shared" si="43"/>
        <v>13.464092627537836</v>
      </c>
      <c r="AG68" s="105">
        <f t="shared" si="25"/>
        <v>-227.39517792706124</v>
      </c>
      <c r="AH68" s="106">
        <f t="shared" si="26"/>
        <v>2227.6369003226637</v>
      </c>
      <c r="AI68" s="95">
        <f t="shared" si="44"/>
        <v>2772.3630996773363</v>
      </c>
      <c r="AK68" s="4">
        <f t="shared" si="15"/>
        <v>0</v>
      </c>
      <c r="AL68" s="4">
        <f t="shared" si="16"/>
        <v>0</v>
      </c>
      <c r="AM68" s="4">
        <f t="shared" si="45"/>
        <v>1</v>
      </c>
      <c r="AN68" s="4">
        <f t="shared" si="27"/>
        <v>1</v>
      </c>
      <c r="AO68" s="4">
        <f t="shared" si="28"/>
        <v>0</v>
      </c>
    </row>
    <row r="69" spans="2:41" ht="12.75">
      <c r="B69" s="10"/>
      <c r="C69" s="10"/>
      <c r="D69" s="10"/>
      <c r="E69" s="10"/>
      <c r="F69" s="10"/>
      <c r="G69" s="10"/>
      <c r="H69" s="107">
        <f t="shared" si="29"/>
        <v>59</v>
      </c>
      <c r="I69" s="98">
        <f ca="1" t="shared" si="46"/>
        <v>-0.17525697912880472</v>
      </c>
      <c r="J69" s="99"/>
      <c r="K69" s="97">
        <f t="shared" si="30"/>
        <v>400.1246347637038</v>
      </c>
      <c r="L69" s="70">
        <f t="shared" si="31"/>
        <v>1904959.1312763807</v>
      </c>
      <c r="M69" s="70">
        <f t="shared" si="32"/>
        <v>1904959.1312763807</v>
      </c>
      <c r="N69" s="100">
        <f t="shared" si="19"/>
        <v>762.2210766417443</v>
      </c>
      <c r="O69" s="28"/>
      <c r="P69" s="97">
        <f t="shared" si="33"/>
        <v>400</v>
      </c>
      <c r="Q69" s="70">
        <f t="shared" si="34"/>
        <v>1904662.4204489957</v>
      </c>
      <c r="R69" s="70">
        <f t="shared" si="35"/>
        <v>1905255.8883257702</v>
      </c>
      <c r="S69" s="70">
        <f t="shared" si="20"/>
        <v>761.8649681795982</v>
      </c>
      <c r="T69" s="101">
        <f t="shared" si="36"/>
        <v>593.4678767744917</v>
      </c>
      <c r="U69" s="102">
        <f t="shared" si="37"/>
        <v>0</v>
      </c>
      <c r="V69" s="103"/>
      <c r="W69" s="97">
        <f t="shared" si="38"/>
        <v>400</v>
      </c>
      <c r="X69" s="70">
        <f t="shared" si="39"/>
        <v>1904662.4204489957</v>
      </c>
      <c r="Y69" s="70">
        <f t="shared" si="40"/>
        <v>1905255.8883257702</v>
      </c>
      <c r="Z69" s="70">
        <f t="shared" si="21"/>
        <v>761.8649681795982</v>
      </c>
      <c r="AA69" s="68">
        <f t="shared" si="22"/>
        <v>-593.4678767744917</v>
      </c>
      <c r="AB69" s="101">
        <f t="shared" si="23"/>
        <v>448209.61970782</v>
      </c>
      <c r="AC69" s="104">
        <f t="shared" si="24"/>
        <v>-0.23738715070979668</v>
      </c>
      <c r="AD69" s="104">
        <f t="shared" si="41"/>
        <v>0.014836696919362293</v>
      </c>
      <c r="AE69" s="105">
        <f t="shared" si="42"/>
        <v>4.4820961970782</v>
      </c>
      <c r="AF69" s="105">
        <f t="shared" si="43"/>
        <v>13.4462885912346</v>
      </c>
      <c r="AG69" s="105">
        <f t="shared" si="25"/>
        <v>17.705834334522365</v>
      </c>
      <c r="AH69" s="106">
        <f t="shared" si="26"/>
        <v>2245.342734657186</v>
      </c>
      <c r="AI69" s="95">
        <f t="shared" si="44"/>
        <v>2754.657265342814</v>
      </c>
      <c r="AK69" s="4">
        <f t="shared" si="15"/>
        <v>0</v>
      </c>
      <c r="AL69" s="4">
        <f t="shared" si="16"/>
        <v>0</v>
      </c>
      <c r="AM69" s="4">
        <f t="shared" si="45"/>
        <v>1</v>
      </c>
      <c r="AN69" s="4">
        <f t="shared" si="27"/>
        <v>1</v>
      </c>
      <c r="AO69" s="4">
        <f t="shared" si="28"/>
        <v>0</v>
      </c>
    </row>
    <row r="70" spans="2:41" ht="12.75">
      <c r="B70" s="10"/>
      <c r="C70" s="10"/>
      <c r="D70" s="10"/>
      <c r="E70" s="10"/>
      <c r="F70" s="10"/>
      <c r="G70" s="10"/>
      <c r="H70" s="107">
        <f t="shared" si="29"/>
        <v>60</v>
      </c>
      <c r="I70" s="98">
        <f ca="1" t="shared" si="46"/>
        <v>-0.13477533682736317</v>
      </c>
      <c r="J70" s="99"/>
      <c r="K70" s="97">
        <f t="shared" si="30"/>
        <v>381.40382960183416</v>
      </c>
      <c r="L70" s="70">
        <f t="shared" si="31"/>
        <v>1951150.5626064867</v>
      </c>
      <c r="M70" s="70">
        <f t="shared" si="32"/>
        <v>1951150.5626064867</v>
      </c>
      <c r="N70" s="100">
        <f t="shared" si="19"/>
        <v>744.1762967078873</v>
      </c>
      <c r="O70" s="28"/>
      <c r="P70" s="97">
        <f t="shared" si="33"/>
        <v>381.40382960183416</v>
      </c>
      <c r="Q70" s="70">
        <f t="shared" si="34"/>
        <v>1951150.5626064867</v>
      </c>
      <c r="R70" s="70">
        <f t="shared" si="35"/>
        <v>1951150.5626064867</v>
      </c>
      <c r="S70" s="70">
        <f t="shared" si="20"/>
        <v>744.1762967078873</v>
      </c>
      <c r="T70" s="101">
        <f t="shared" si="36"/>
        <v>0</v>
      </c>
      <c r="U70" s="102">
        <f t="shared" si="37"/>
        <v>0</v>
      </c>
      <c r="V70" s="103"/>
      <c r="W70" s="97">
        <f t="shared" si="38"/>
        <v>381.40382960183416</v>
      </c>
      <c r="X70" s="70">
        <f t="shared" si="39"/>
        <v>1951150.5626064867</v>
      </c>
      <c r="Y70" s="70">
        <f t="shared" si="40"/>
        <v>1951150.5626064867</v>
      </c>
      <c r="Z70" s="70">
        <f t="shared" si="21"/>
        <v>744.1762967078873</v>
      </c>
      <c r="AA70" s="68">
        <f t="shared" si="22"/>
        <v>0</v>
      </c>
      <c r="AB70" s="101">
        <f t="shared" si="23"/>
        <v>448209.61970782</v>
      </c>
      <c r="AC70" s="104">
        <f t="shared" si="24"/>
        <v>0</v>
      </c>
      <c r="AD70" s="104">
        <f t="shared" si="41"/>
        <v>0</v>
      </c>
      <c r="AE70" s="105">
        <f t="shared" si="42"/>
        <v>4.4820961970782</v>
      </c>
      <c r="AF70" s="105">
        <f t="shared" si="43"/>
        <v>12.821164906570822</v>
      </c>
      <c r="AG70" s="105">
        <f t="shared" si="25"/>
        <v>17.30326110364902</v>
      </c>
      <c r="AH70" s="106">
        <f t="shared" si="26"/>
        <v>2262.6459957608354</v>
      </c>
      <c r="AI70" s="95">
        <f t="shared" si="44"/>
        <v>2737.3540042391646</v>
      </c>
      <c r="AK70" s="4">
        <f t="shared" si="15"/>
        <v>0</v>
      </c>
      <c r="AL70" s="4">
        <f t="shared" si="16"/>
        <v>0</v>
      </c>
      <c r="AM70" s="4">
        <f t="shared" si="45"/>
        <v>1</v>
      </c>
      <c r="AN70" s="4">
        <f t="shared" si="27"/>
        <v>0</v>
      </c>
      <c r="AO70" s="4">
        <f t="shared" si="28"/>
        <v>0</v>
      </c>
    </row>
    <row r="71" spans="2:41" ht="12.75">
      <c r="B71" s="10"/>
      <c r="C71" s="10"/>
      <c r="D71" s="10"/>
      <c r="E71" s="10"/>
      <c r="F71" s="10"/>
      <c r="G71" s="10"/>
      <c r="H71" s="107">
        <f t="shared" si="29"/>
        <v>61</v>
      </c>
      <c r="I71" s="98">
        <f ca="1" t="shared" si="46"/>
        <v>0.05561649179299123</v>
      </c>
      <c r="J71" s="99"/>
      <c r="K71" s="97">
        <f t="shared" si="30"/>
        <v>312.61353205981794</v>
      </c>
      <c r="L71" s="70">
        <f t="shared" si="31"/>
        <v>2155159.521680279</v>
      </c>
      <c r="M71" s="70">
        <f t="shared" si="32"/>
        <v>2155159.521680279</v>
      </c>
      <c r="N71" s="100">
        <f t="shared" si="19"/>
        <v>673.7320302248199</v>
      </c>
      <c r="O71" s="28"/>
      <c r="P71" s="97">
        <f t="shared" si="33"/>
        <v>312.61353205981794</v>
      </c>
      <c r="Q71" s="70">
        <f t="shared" si="34"/>
        <v>2155159.521680279</v>
      </c>
      <c r="R71" s="70">
        <f t="shared" si="35"/>
        <v>2155159.521680279</v>
      </c>
      <c r="S71" s="70">
        <f t="shared" si="20"/>
        <v>673.7320302248199</v>
      </c>
      <c r="T71" s="101">
        <f t="shared" si="36"/>
        <v>0</v>
      </c>
      <c r="U71" s="102">
        <f t="shared" si="37"/>
        <v>0</v>
      </c>
      <c r="V71" s="103"/>
      <c r="W71" s="97">
        <f t="shared" si="38"/>
        <v>312.61353205981794</v>
      </c>
      <c r="X71" s="70">
        <f t="shared" si="39"/>
        <v>2155159.521680279</v>
      </c>
      <c r="Y71" s="70">
        <f t="shared" si="40"/>
        <v>2155159.521680279</v>
      </c>
      <c r="Z71" s="70">
        <f t="shared" si="21"/>
        <v>673.7320302248199</v>
      </c>
      <c r="AA71" s="68">
        <f t="shared" si="22"/>
        <v>0</v>
      </c>
      <c r="AB71" s="101">
        <f t="shared" si="23"/>
        <v>448209.61970782</v>
      </c>
      <c r="AC71" s="104">
        <f t="shared" si="24"/>
        <v>0</v>
      </c>
      <c r="AD71" s="104">
        <f t="shared" si="41"/>
        <v>0</v>
      </c>
      <c r="AE71" s="105">
        <f t="shared" si="42"/>
        <v>4.4820961970782</v>
      </c>
      <c r="AF71" s="105">
        <f t="shared" si="43"/>
        <v>10.508729424003706</v>
      </c>
      <c r="AG71" s="105">
        <f t="shared" si="25"/>
        <v>14.990825621081907</v>
      </c>
      <c r="AH71" s="106">
        <f t="shared" si="26"/>
        <v>2277.6368213819173</v>
      </c>
      <c r="AI71" s="95">
        <f t="shared" si="44"/>
        <v>2722.3631786180827</v>
      </c>
      <c r="AK71" s="4">
        <f t="shared" si="15"/>
        <v>0</v>
      </c>
      <c r="AL71" s="4">
        <f t="shared" si="16"/>
        <v>0</v>
      </c>
      <c r="AM71" s="4">
        <f t="shared" si="45"/>
        <v>1</v>
      </c>
      <c r="AN71" s="4">
        <f t="shared" si="27"/>
        <v>0</v>
      </c>
      <c r="AO71" s="4">
        <f t="shared" si="28"/>
        <v>0</v>
      </c>
    </row>
    <row r="72" spans="2:41" ht="12.75">
      <c r="B72" s="10"/>
      <c r="C72" s="10"/>
      <c r="D72" s="10"/>
      <c r="E72" s="10"/>
      <c r="F72" s="10"/>
      <c r="G72" s="10"/>
      <c r="H72" s="107">
        <f t="shared" si="29"/>
        <v>62</v>
      </c>
      <c r="I72" s="98">
        <f ca="1" t="shared" si="46"/>
        <v>0.07406837300194963</v>
      </c>
      <c r="J72" s="99"/>
      <c r="K72" s="97">
        <f t="shared" si="30"/>
        <v>307.243010123902</v>
      </c>
      <c r="L72" s="70">
        <f t="shared" si="31"/>
        <v>2173913.715217002</v>
      </c>
      <c r="M72" s="70">
        <f t="shared" si="32"/>
        <v>2173913.715217002</v>
      </c>
      <c r="N72" s="100">
        <f t="shared" si="19"/>
        <v>667.9197936129068</v>
      </c>
      <c r="O72" s="28"/>
      <c r="P72" s="97">
        <f t="shared" si="33"/>
        <v>307.243010123902</v>
      </c>
      <c r="Q72" s="70">
        <f t="shared" si="34"/>
        <v>2173913.715217002</v>
      </c>
      <c r="R72" s="70">
        <f t="shared" si="35"/>
        <v>2173913.715217002</v>
      </c>
      <c r="S72" s="70">
        <f t="shared" si="20"/>
        <v>667.9197936129068</v>
      </c>
      <c r="T72" s="101">
        <f t="shared" si="36"/>
        <v>0</v>
      </c>
      <c r="U72" s="102">
        <f t="shared" si="37"/>
        <v>0</v>
      </c>
      <c r="V72" s="103"/>
      <c r="W72" s="97">
        <f t="shared" si="38"/>
        <v>307.243010123902</v>
      </c>
      <c r="X72" s="70">
        <f t="shared" si="39"/>
        <v>2173913.715217002</v>
      </c>
      <c r="Y72" s="70">
        <f t="shared" si="40"/>
        <v>2173913.715217002</v>
      </c>
      <c r="Z72" s="70">
        <f t="shared" si="21"/>
        <v>667.9197936129068</v>
      </c>
      <c r="AA72" s="68">
        <f t="shared" si="22"/>
        <v>0</v>
      </c>
      <c r="AB72" s="101">
        <f t="shared" si="23"/>
        <v>448209.61970782</v>
      </c>
      <c r="AC72" s="104">
        <f t="shared" si="24"/>
        <v>0</v>
      </c>
      <c r="AD72" s="104">
        <f t="shared" si="41"/>
        <v>0</v>
      </c>
      <c r="AE72" s="105">
        <f t="shared" si="42"/>
        <v>4.4820961970782</v>
      </c>
      <c r="AF72" s="105">
        <f t="shared" si="43"/>
        <v>10.328195454414002</v>
      </c>
      <c r="AG72" s="105">
        <f t="shared" si="25"/>
        <v>14.810291651492204</v>
      </c>
      <c r="AH72" s="106">
        <f t="shared" si="26"/>
        <v>2292.4471130334096</v>
      </c>
      <c r="AI72" s="95">
        <f t="shared" si="44"/>
        <v>2707.5528869665904</v>
      </c>
      <c r="AK72" s="4">
        <f t="shared" si="15"/>
        <v>0</v>
      </c>
      <c r="AL72" s="4">
        <f t="shared" si="16"/>
        <v>0</v>
      </c>
      <c r="AM72" s="4">
        <f t="shared" si="45"/>
        <v>1</v>
      </c>
      <c r="AN72" s="4">
        <f t="shared" si="27"/>
        <v>0</v>
      </c>
      <c r="AO72" s="4">
        <f t="shared" si="28"/>
        <v>0</v>
      </c>
    </row>
    <row r="73" spans="2:41" ht="12.75">
      <c r="B73" s="10"/>
      <c r="C73" s="10"/>
      <c r="D73" s="10"/>
      <c r="E73" s="10"/>
      <c r="F73" s="10"/>
      <c r="G73" s="10"/>
      <c r="H73" s="107">
        <f t="shared" si="29"/>
        <v>63</v>
      </c>
      <c r="I73" s="98">
        <f ca="1" t="shared" si="46"/>
        <v>-0.0413738861444552</v>
      </c>
      <c r="J73" s="99"/>
      <c r="K73" s="97">
        <f t="shared" si="30"/>
        <v>344.24265647506513</v>
      </c>
      <c r="L73" s="70">
        <f t="shared" si="31"/>
        <v>2053766.0287784475</v>
      </c>
      <c r="M73" s="70">
        <f t="shared" si="32"/>
        <v>2053766.0287784475</v>
      </c>
      <c r="N73" s="100">
        <f t="shared" si="19"/>
        <v>706.9938735249378</v>
      </c>
      <c r="O73" s="28"/>
      <c r="P73" s="97">
        <f t="shared" si="33"/>
        <v>344.24265647506513</v>
      </c>
      <c r="Q73" s="70">
        <f t="shared" si="34"/>
        <v>2053766.0287784475</v>
      </c>
      <c r="R73" s="70">
        <f t="shared" si="35"/>
        <v>2053766.0287784475</v>
      </c>
      <c r="S73" s="70">
        <f t="shared" si="20"/>
        <v>706.9938735249378</v>
      </c>
      <c r="T73" s="101">
        <f t="shared" si="36"/>
        <v>0</v>
      </c>
      <c r="U73" s="102">
        <f t="shared" si="37"/>
        <v>0</v>
      </c>
      <c r="V73" s="103"/>
      <c r="W73" s="97">
        <f t="shared" si="38"/>
        <v>344.24265647506513</v>
      </c>
      <c r="X73" s="70">
        <f t="shared" si="39"/>
        <v>2053766.0287784475</v>
      </c>
      <c r="Y73" s="70">
        <f t="shared" si="40"/>
        <v>2053766.0287784475</v>
      </c>
      <c r="Z73" s="70">
        <f t="shared" si="21"/>
        <v>706.9938735249378</v>
      </c>
      <c r="AA73" s="68">
        <f t="shared" si="22"/>
        <v>0</v>
      </c>
      <c r="AB73" s="101">
        <f t="shared" si="23"/>
        <v>448209.61970782</v>
      </c>
      <c r="AC73" s="104">
        <f t="shared" si="24"/>
        <v>0</v>
      </c>
      <c r="AD73" s="104">
        <f t="shared" si="41"/>
        <v>0</v>
      </c>
      <c r="AE73" s="105">
        <f t="shared" si="42"/>
        <v>4.4820961970782</v>
      </c>
      <c r="AF73" s="105">
        <f t="shared" si="43"/>
        <v>11.5719652609424</v>
      </c>
      <c r="AG73" s="105">
        <f t="shared" si="25"/>
        <v>16.054061458020602</v>
      </c>
      <c r="AH73" s="106">
        <f t="shared" si="26"/>
        <v>2308.50117449143</v>
      </c>
      <c r="AI73" s="95">
        <f t="shared" si="44"/>
        <v>2691.49882550857</v>
      </c>
      <c r="AK73" s="4">
        <f t="shared" si="15"/>
        <v>0</v>
      </c>
      <c r="AL73" s="4">
        <f t="shared" si="16"/>
        <v>0</v>
      </c>
      <c r="AM73" s="4">
        <f t="shared" si="45"/>
        <v>1</v>
      </c>
      <c r="AN73" s="4">
        <f t="shared" si="27"/>
        <v>0</v>
      </c>
      <c r="AO73" s="4">
        <f t="shared" si="28"/>
        <v>0</v>
      </c>
    </row>
    <row r="74" spans="2:41" ht="12.75">
      <c r="B74" s="10"/>
      <c r="C74" s="10"/>
      <c r="D74" s="10"/>
      <c r="E74" s="10"/>
      <c r="F74" s="10"/>
      <c r="G74" s="10"/>
      <c r="H74" s="107">
        <f t="shared" si="29"/>
        <v>64</v>
      </c>
      <c r="I74" s="98">
        <f ca="1" t="shared" si="46"/>
        <v>-0.058736699270900423</v>
      </c>
      <c r="J74" s="99"/>
      <c r="K74" s="97">
        <f aca="true" t="shared" si="47" ref="K74:K109">EXP((Dalpha-Salpha-LN(1+I74))/(Sbeta-Dbeta))</f>
        <v>350.59265536474635</v>
      </c>
      <c r="L74" s="70">
        <f aca="true" t="shared" si="48" ref="L74:L105">EXP(Salpha+LN(1+$I74)+Sbeta*LN(K74))</f>
        <v>2035081.945084289</v>
      </c>
      <c r="M74" s="70">
        <f aca="true" t="shared" si="49" ref="M74:M109">EXP(Dalpha+Dbeta*LN(K74))</f>
        <v>2035081.945084289</v>
      </c>
      <c r="N74" s="100">
        <f t="shared" si="19"/>
        <v>713.4847830119538</v>
      </c>
      <c r="O74" s="28"/>
      <c r="P74" s="97">
        <f aca="true" t="shared" si="50" ref="P74:P109">MAX(MIN(K74,Import_parity_price),Export_parity_price)</f>
        <v>350.59265536474635</v>
      </c>
      <c r="Q74" s="70">
        <f aca="true" t="shared" si="51" ref="Q74:Q105">EXP(Salpha+LN(1+$I74)+Sbeta*LN(P74))</f>
        <v>2035081.945084289</v>
      </c>
      <c r="R74" s="70">
        <f aca="true" t="shared" si="52" ref="R74:R109">EXP(Dalpha+Dbeta*LN(P74))</f>
        <v>2035081.945084289</v>
      </c>
      <c r="S74" s="70">
        <f t="shared" si="20"/>
        <v>713.4847830119538</v>
      </c>
      <c r="T74" s="101">
        <f aca="true" t="shared" si="53" ref="T74:T105">R74-Q74</f>
        <v>0</v>
      </c>
      <c r="U74" s="102">
        <f aca="true" t="shared" si="54" ref="U74:U105">T74*Import_tariff*Pw/1000000</f>
        <v>0</v>
      </c>
      <c r="V74" s="103"/>
      <c r="W74" s="97">
        <f aca="true" t="shared" si="55" ref="W74:W109">MAX(MIN(K74,Sell_price),Buy_price)</f>
        <v>350.59265536474635</v>
      </c>
      <c r="X74" s="70">
        <f aca="true" t="shared" si="56" ref="X74:X105">EXP(Salpha+LN(1+$I74)+Sbeta*LN(W74))</f>
        <v>2035081.945084289</v>
      </c>
      <c r="Y74" s="70">
        <f aca="true" t="shared" si="57" ref="Y74:Y109">EXP(Dalpha+Dbeta*LN(W74))</f>
        <v>2035081.945084289</v>
      </c>
      <c r="Z74" s="70">
        <f t="shared" si="21"/>
        <v>713.4847830119538</v>
      </c>
      <c r="AA74" s="68">
        <f t="shared" si="22"/>
        <v>0</v>
      </c>
      <c r="AB74" s="101">
        <f t="shared" si="23"/>
        <v>448209.61970782</v>
      </c>
      <c r="AC74" s="104">
        <f t="shared" si="24"/>
        <v>0</v>
      </c>
      <c r="AD74" s="104">
        <f aca="true" t="shared" si="58" ref="AD74:AD109">ABS(AA74*Transport_cost)/1000000</f>
        <v>0</v>
      </c>
      <c r="AE74" s="105">
        <f aca="true" t="shared" si="59" ref="AE74:AE109">MAX(0,Storage_cost*AB74/1000000)</f>
        <v>4.4820961970782</v>
      </c>
      <c r="AF74" s="105">
        <f aca="true" t="shared" si="60" ref="AF74:AF109">MAX(0,AB74*W74*Interest_rate*0.75/1000000)</f>
        <v>11.785425055004083</v>
      </c>
      <c r="AG74" s="105">
        <f t="shared" si="25"/>
        <v>16.267521252082283</v>
      </c>
      <c r="AH74" s="106">
        <f t="shared" si="26"/>
        <v>2324.768695743512</v>
      </c>
      <c r="AI74" s="95">
        <f aca="true" t="shared" si="61" ref="AI74:AI105">Initial_fund-AH74</f>
        <v>2675.231304256488</v>
      </c>
      <c r="AK74" s="4">
        <f aca="true" t="shared" si="62" ref="AK74:AK109">IF(AB74&lt;0,1,0)</f>
        <v>0</v>
      </c>
      <c r="AL74" s="4">
        <f aca="true" t="shared" si="63" ref="AL74:AL109">IF(AI74&lt;0,1,0)</f>
        <v>0</v>
      </c>
      <c r="AM74" s="4">
        <f aca="true" t="shared" si="64" ref="AM74:AM109">IF(AB74&gt;Storage_capacity,1,0)</f>
        <v>1</v>
      </c>
      <c r="AN74" s="4">
        <f t="shared" si="27"/>
        <v>0</v>
      </c>
      <c r="AO74" s="4">
        <f t="shared" si="28"/>
        <v>0</v>
      </c>
    </row>
    <row r="75" spans="2:41" ht="12.75">
      <c r="B75" s="10"/>
      <c r="C75" s="10"/>
      <c r="D75" s="10"/>
      <c r="E75" s="10"/>
      <c r="F75" s="10"/>
      <c r="G75" s="10"/>
      <c r="H75" s="107">
        <f t="shared" si="29"/>
        <v>65</v>
      </c>
      <c r="I75" s="98">
        <f aca="true" ca="1" t="shared" si="65" ref="I75:I109">MAX($G$13,NORMINV(RAND(),0,StdDevS))</f>
        <v>0.4020081124540753</v>
      </c>
      <c r="J75" s="99"/>
      <c r="K75" s="97">
        <f t="shared" si="47"/>
        <v>235.37666941339498</v>
      </c>
      <c r="L75" s="70">
        <f t="shared" si="48"/>
        <v>2483714.092804952</v>
      </c>
      <c r="M75" s="70">
        <f t="shared" si="49"/>
        <v>2483714.0928049567</v>
      </c>
      <c r="N75" s="100">
        <f aca="true" t="shared" si="66" ref="N75:N109">L75*K75/1000000</f>
        <v>584.6083509395414</v>
      </c>
      <c r="O75" s="28"/>
      <c r="P75" s="97">
        <f t="shared" si="50"/>
        <v>235.37666941339498</v>
      </c>
      <c r="Q75" s="70">
        <f t="shared" si="51"/>
        <v>2483714.092804952</v>
      </c>
      <c r="R75" s="70">
        <f t="shared" si="52"/>
        <v>2483714.0928049567</v>
      </c>
      <c r="S75" s="70">
        <f aca="true" t="shared" si="67" ref="S75:S109">Q75*P75/1000000</f>
        <v>584.6083509395414</v>
      </c>
      <c r="T75" s="101">
        <f t="shared" si="53"/>
        <v>4.6566128730773926E-09</v>
      </c>
      <c r="U75" s="102">
        <f t="shared" si="54"/>
        <v>0</v>
      </c>
      <c r="V75" s="103"/>
      <c r="W75" s="97">
        <f t="shared" si="55"/>
        <v>300</v>
      </c>
      <c r="X75" s="70">
        <f t="shared" si="56"/>
        <v>2804016.2249081475</v>
      </c>
      <c r="Y75" s="70">
        <f t="shared" si="57"/>
        <v>2200000.0000000047</v>
      </c>
      <c r="Z75" s="70">
        <f aca="true" t="shared" si="68" ref="Z75:Z109">X75*W75/1000000</f>
        <v>841.2048674724443</v>
      </c>
      <c r="AA75" s="68">
        <f aca="true" t="shared" si="69" ref="AA75:AA109">X75-Y75</f>
        <v>604016.2249081428</v>
      </c>
      <c r="AB75" s="101">
        <f aca="true" t="shared" si="70" ref="AB75:AB109">AB74+AA75</f>
        <v>1052225.8446159628</v>
      </c>
      <c r="AC75" s="104">
        <f aca="true" t="shared" si="71" ref="AC75:AC109">AA75*W75/1000000</f>
        <v>181.20486747244283</v>
      </c>
      <c r="AD75" s="104">
        <f t="shared" si="58"/>
        <v>15.10040562270357</v>
      </c>
      <c r="AE75" s="105">
        <f t="shared" si="59"/>
        <v>10.522258446159627</v>
      </c>
      <c r="AF75" s="105">
        <f t="shared" si="60"/>
        <v>23.675081503859165</v>
      </c>
      <c r="AG75" s="105">
        <f aca="true" t="shared" si="72" ref="AG75:AG109">SUM(AC75:AF75)</f>
        <v>230.5026130451652</v>
      </c>
      <c r="AH75" s="106">
        <f aca="true" t="shared" si="73" ref="AH75:AH109">AH74+AG75</f>
        <v>2555.2713087886773</v>
      </c>
      <c r="AI75" s="95">
        <f t="shared" si="61"/>
        <v>2444.7286912113227</v>
      </c>
      <c r="AK75" s="4">
        <f t="shared" si="62"/>
        <v>0</v>
      </c>
      <c r="AL75" s="4">
        <f t="shared" si="63"/>
        <v>0</v>
      </c>
      <c r="AM75" s="4">
        <f t="shared" si="64"/>
        <v>1</v>
      </c>
      <c r="AN75" s="4">
        <f aca="true" t="shared" si="74" ref="AN75:AN109">IF(AA75&lt;0,1,0)</f>
        <v>0</v>
      </c>
      <c r="AO75" s="4">
        <f aca="true" t="shared" si="75" ref="AO75:AO109">IF(AA75&gt;0,1,0)</f>
        <v>1</v>
      </c>
    </row>
    <row r="76" spans="2:41" ht="12.75">
      <c r="B76" s="10"/>
      <c r="C76" s="10"/>
      <c r="D76" s="10"/>
      <c r="E76" s="10"/>
      <c r="F76" s="10"/>
      <c r="G76" s="10"/>
      <c r="H76" s="107">
        <f aca="true" t="shared" si="76" ref="H76:H109">1+H75</f>
        <v>66</v>
      </c>
      <c r="I76" s="98">
        <f ca="1" t="shared" si="65"/>
        <v>0.035197811200699466</v>
      </c>
      <c r="J76" s="99"/>
      <c r="K76" s="97">
        <f t="shared" si="47"/>
        <v>318.7796539264726</v>
      </c>
      <c r="L76" s="70">
        <f t="shared" si="48"/>
        <v>2134214.2275983207</v>
      </c>
      <c r="M76" s="70">
        <f t="shared" si="49"/>
        <v>2134214.227598317</v>
      </c>
      <c r="N76" s="100">
        <f t="shared" si="66"/>
        <v>680.3440728787466</v>
      </c>
      <c r="O76" s="28"/>
      <c r="P76" s="97">
        <f t="shared" si="50"/>
        <v>318.7796539264726</v>
      </c>
      <c r="Q76" s="70">
        <f t="shared" si="51"/>
        <v>2134214.2275983207</v>
      </c>
      <c r="R76" s="70">
        <f t="shared" si="52"/>
        <v>2134214.227598317</v>
      </c>
      <c r="S76" s="70">
        <f t="shared" si="67"/>
        <v>680.3440728787466</v>
      </c>
      <c r="T76" s="101">
        <f t="shared" si="53"/>
        <v>-3.725290298461914E-09</v>
      </c>
      <c r="U76" s="102">
        <f t="shared" si="54"/>
        <v>0</v>
      </c>
      <c r="V76" s="103"/>
      <c r="W76" s="97">
        <f t="shared" si="55"/>
        <v>318.7796539264726</v>
      </c>
      <c r="X76" s="70">
        <f t="shared" si="56"/>
        <v>2134214.2275983207</v>
      </c>
      <c r="Y76" s="70">
        <f t="shared" si="57"/>
        <v>2134214.227598317</v>
      </c>
      <c r="Z76" s="70">
        <f t="shared" si="68"/>
        <v>680.3440728787466</v>
      </c>
      <c r="AA76" s="68">
        <f t="shared" si="69"/>
        <v>3.725290298461914E-09</v>
      </c>
      <c r="AB76" s="101">
        <f t="shared" si="70"/>
        <v>1052225.8446159665</v>
      </c>
      <c r="AC76" s="104">
        <f t="shared" si="71"/>
        <v>1.1875467521193347E-12</v>
      </c>
      <c r="AD76" s="104">
        <f t="shared" si="58"/>
        <v>9.313225746154786E-14</v>
      </c>
      <c r="AE76" s="105">
        <f t="shared" si="59"/>
        <v>10.522258446159665</v>
      </c>
      <c r="AF76" s="105">
        <f t="shared" si="60"/>
        <v>25.15711429493761</v>
      </c>
      <c r="AG76" s="105">
        <f t="shared" si="72"/>
        <v>35.679372741098554</v>
      </c>
      <c r="AH76" s="106">
        <f t="shared" si="73"/>
        <v>2590.950681529776</v>
      </c>
      <c r="AI76" s="95">
        <f t="shared" si="61"/>
        <v>2409.049318470224</v>
      </c>
      <c r="AK76" s="4">
        <f t="shared" si="62"/>
        <v>0</v>
      </c>
      <c r="AL76" s="4">
        <f t="shared" si="63"/>
        <v>0</v>
      </c>
      <c r="AM76" s="4">
        <f t="shared" si="64"/>
        <v>1</v>
      </c>
      <c r="AN76" s="4">
        <f t="shared" si="74"/>
        <v>0</v>
      </c>
      <c r="AO76" s="4">
        <f t="shared" si="75"/>
        <v>1</v>
      </c>
    </row>
    <row r="77" spans="2:41" ht="12.75">
      <c r="B77" s="10"/>
      <c r="C77" s="10"/>
      <c r="D77" s="10"/>
      <c r="E77" s="10"/>
      <c r="F77" s="10"/>
      <c r="G77" s="10"/>
      <c r="H77" s="107">
        <f t="shared" si="76"/>
        <v>67</v>
      </c>
      <c r="I77" s="98">
        <f ca="1" t="shared" si="65"/>
        <v>0.15007909823390278</v>
      </c>
      <c r="J77" s="99"/>
      <c r="K77" s="97">
        <f t="shared" si="47"/>
        <v>286.93678591912413</v>
      </c>
      <c r="L77" s="70">
        <f t="shared" si="48"/>
        <v>2249521.7341090925</v>
      </c>
      <c r="M77" s="70">
        <f t="shared" si="49"/>
        <v>2249521.7341090925</v>
      </c>
      <c r="N77" s="100">
        <f t="shared" si="66"/>
        <v>645.4705362404776</v>
      </c>
      <c r="O77" s="28"/>
      <c r="P77" s="97">
        <f t="shared" si="50"/>
        <v>286.93678591912413</v>
      </c>
      <c r="Q77" s="70">
        <f t="shared" si="51"/>
        <v>2249521.7341090925</v>
      </c>
      <c r="R77" s="70">
        <f t="shared" si="52"/>
        <v>2249521.7341090925</v>
      </c>
      <c r="S77" s="70">
        <f t="shared" si="67"/>
        <v>645.4705362404776</v>
      </c>
      <c r="T77" s="101">
        <f t="shared" si="53"/>
        <v>0</v>
      </c>
      <c r="U77" s="102">
        <f t="shared" si="54"/>
        <v>0</v>
      </c>
      <c r="V77" s="103"/>
      <c r="W77" s="97">
        <f t="shared" si="55"/>
        <v>300</v>
      </c>
      <c r="X77" s="70">
        <f t="shared" si="56"/>
        <v>2300158.1964678033</v>
      </c>
      <c r="Y77" s="70">
        <f t="shared" si="57"/>
        <v>2200000.0000000047</v>
      </c>
      <c r="Z77" s="70">
        <f t="shared" si="68"/>
        <v>690.047458940341</v>
      </c>
      <c r="AA77" s="68">
        <f t="shared" si="69"/>
        <v>100158.19646779867</v>
      </c>
      <c r="AB77" s="101">
        <f t="shared" si="70"/>
        <v>1152384.0410837652</v>
      </c>
      <c r="AC77" s="104">
        <f t="shared" si="71"/>
        <v>30.047458940339602</v>
      </c>
      <c r="AD77" s="104">
        <f t="shared" si="58"/>
        <v>2.503954911694967</v>
      </c>
      <c r="AE77" s="105">
        <f t="shared" si="59"/>
        <v>11.523840410837652</v>
      </c>
      <c r="AF77" s="105">
        <f t="shared" si="60"/>
        <v>25.92864092438472</v>
      </c>
      <c r="AG77" s="105">
        <f t="shared" si="72"/>
        <v>70.00389518725694</v>
      </c>
      <c r="AH77" s="106">
        <f t="shared" si="73"/>
        <v>2660.954576717033</v>
      </c>
      <c r="AI77" s="95">
        <f t="shared" si="61"/>
        <v>2339.045423282967</v>
      </c>
      <c r="AK77" s="4">
        <f t="shared" si="62"/>
        <v>0</v>
      </c>
      <c r="AL77" s="4">
        <f t="shared" si="63"/>
        <v>0</v>
      </c>
      <c r="AM77" s="4">
        <f t="shared" si="64"/>
        <v>1</v>
      </c>
      <c r="AN77" s="4">
        <f t="shared" si="74"/>
        <v>0</v>
      </c>
      <c r="AO77" s="4">
        <f t="shared" si="75"/>
        <v>1</v>
      </c>
    </row>
    <row r="78" spans="2:41" ht="12.75">
      <c r="B78" s="10"/>
      <c r="C78" s="10"/>
      <c r="D78" s="10"/>
      <c r="E78" s="10"/>
      <c r="F78" s="10"/>
      <c r="G78" s="10"/>
      <c r="H78" s="107">
        <f t="shared" si="76"/>
        <v>68</v>
      </c>
      <c r="I78" s="98">
        <f ca="1" t="shared" si="65"/>
        <v>-0.0842045337268614</v>
      </c>
      <c r="J78" s="99"/>
      <c r="K78" s="97">
        <f t="shared" si="47"/>
        <v>360.3424696378411</v>
      </c>
      <c r="L78" s="70">
        <f t="shared" si="48"/>
        <v>2007361.4651083194</v>
      </c>
      <c r="M78" s="70">
        <f t="shared" si="49"/>
        <v>2007361.4651083194</v>
      </c>
      <c r="N78" s="100">
        <f t="shared" si="66"/>
        <v>723.3375877929667</v>
      </c>
      <c r="O78" s="28"/>
      <c r="P78" s="97">
        <f t="shared" si="50"/>
        <v>360.3424696378411</v>
      </c>
      <c r="Q78" s="70">
        <f t="shared" si="51"/>
        <v>2007361.4651083194</v>
      </c>
      <c r="R78" s="70">
        <f t="shared" si="52"/>
        <v>2007361.4651083194</v>
      </c>
      <c r="S78" s="70">
        <f t="shared" si="67"/>
        <v>723.3375877929667</v>
      </c>
      <c r="T78" s="101">
        <f t="shared" si="53"/>
        <v>0</v>
      </c>
      <c r="U78" s="102">
        <f t="shared" si="54"/>
        <v>0</v>
      </c>
      <c r="V78" s="103"/>
      <c r="W78" s="97">
        <f t="shared" si="55"/>
        <v>360.3424696378411</v>
      </c>
      <c r="X78" s="70">
        <f t="shared" si="56"/>
        <v>2007361.4651083194</v>
      </c>
      <c r="Y78" s="70">
        <f t="shared" si="57"/>
        <v>2007361.4651083194</v>
      </c>
      <c r="Z78" s="70">
        <f t="shared" si="68"/>
        <v>723.3375877929667</v>
      </c>
      <c r="AA78" s="68">
        <f t="shared" si="69"/>
        <v>0</v>
      </c>
      <c r="AB78" s="101">
        <f t="shared" si="70"/>
        <v>1152384.0410837652</v>
      </c>
      <c r="AC78" s="104">
        <f t="shared" si="71"/>
        <v>0</v>
      </c>
      <c r="AD78" s="104">
        <f t="shared" si="58"/>
        <v>0</v>
      </c>
      <c r="AE78" s="105">
        <f t="shared" si="59"/>
        <v>11.523840410837652</v>
      </c>
      <c r="AF78" s="105">
        <f t="shared" si="60"/>
        <v>31.143968350151948</v>
      </c>
      <c r="AG78" s="105">
        <f t="shared" si="72"/>
        <v>42.6678087609896</v>
      </c>
      <c r="AH78" s="106">
        <f t="shared" si="73"/>
        <v>2703.622385478023</v>
      </c>
      <c r="AI78" s="95">
        <f t="shared" si="61"/>
        <v>2296.377614521977</v>
      </c>
      <c r="AK78" s="4">
        <f t="shared" si="62"/>
        <v>0</v>
      </c>
      <c r="AL78" s="4">
        <f t="shared" si="63"/>
        <v>0</v>
      </c>
      <c r="AM78" s="4">
        <f t="shared" si="64"/>
        <v>1</v>
      </c>
      <c r="AN78" s="4">
        <f t="shared" si="74"/>
        <v>0</v>
      </c>
      <c r="AO78" s="4">
        <f t="shared" si="75"/>
        <v>0</v>
      </c>
    </row>
    <row r="79" spans="2:41" ht="12.75">
      <c r="B79" s="10"/>
      <c r="C79" s="10"/>
      <c r="D79" s="10"/>
      <c r="E79" s="10"/>
      <c r="F79" s="10"/>
      <c r="G79" s="10"/>
      <c r="H79" s="107">
        <f t="shared" si="76"/>
        <v>69</v>
      </c>
      <c r="I79" s="98">
        <f ca="1" t="shared" si="65"/>
        <v>0.2931438214582408</v>
      </c>
      <c r="J79" s="99"/>
      <c r="K79" s="97">
        <f t="shared" si="47"/>
        <v>255.19203241281338</v>
      </c>
      <c r="L79" s="70">
        <f t="shared" si="48"/>
        <v>2385337.0441965368</v>
      </c>
      <c r="M79" s="70">
        <f t="shared" si="49"/>
        <v>2385337.0441965368</v>
      </c>
      <c r="N79" s="100">
        <f t="shared" si="66"/>
        <v>608.7190082980871</v>
      </c>
      <c r="O79" s="28"/>
      <c r="P79" s="97">
        <f t="shared" si="50"/>
        <v>255.19203241281338</v>
      </c>
      <c r="Q79" s="70">
        <f t="shared" si="51"/>
        <v>2385337.0441965368</v>
      </c>
      <c r="R79" s="70">
        <f t="shared" si="52"/>
        <v>2385337.0441965368</v>
      </c>
      <c r="S79" s="70">
        <f t="shared" si="67"/>
        <v>608.7190082980871</v>
      </c>
      <c r="T79" s="101">
        <f t="shared" si="53"/>
        <v>0</v>
      </c>
      <c r="U79" s="102">
        <f t="shared" si="54"/>
        <v>0</v>
      </c>
      <c r="V79" s="103"/>
      <c r="W79" s="97">
        <f t="shared" si="55"/>
        <v>300</v>
      </c>
      <c r="X79" s="70">
        <f t="shared" si="56"/>
        <v>2586287.642916481</v>
      </c>
      <c r="Y79" s="70">
        <f t="shared" si="57"/>
        <v>2200000.0000000047</v>
      </c>
      <c r="Z79" s="70">
        <f t="shared" si="68"/>
        <v>775.8862928749443</v>
      </c>
      <c r="AA79" s="68">
        <f t="shared" si="69"/>
        <v>386287.64291647635</v>
      </c>
      <c r="AB79" s="101">
        <f t="shared" si="70"/>
        <v>1538671.6840002416</v>
      </c>
      <c r="AC79" s="104">
        <f t="shared" si="71"/>
        <v>115.8862928749429</v>
      </c>
      <c r="AD79" s="104">
        <f t="shared" si="58"/>
        <v>9.657191072911909</v>
      </c>
      <c r="AE79" s="105">
        <f t="shared" si="59"/>
        <v>15.386716840002416</v>
      </c>
      <c r="AF79" s="105">
        <f t="shared" si="60"/>
        <v>34.62011289000544</v>
      </c>
      <c r="AG79" s="105">
        <f t="shared" si="72"/>
        <v>175.55031367786265</v>
      </c>
      <c r="AH79" s="106">
        <f t="shared" si="73"/>
        <v>2879.1726991558853</v>
      </c>
      <c r="AI79" s="95">
        <f t="shared" si="61"/>
        <v>2120.8273008441147</v>
      </c>
      <c r="AK79" s="4">
        <f t="shared" si="62"/>
        <v>0</v>
      </c>
      <c r="AL79" s="4">
        <f t="shared" si="63"/>
        <v>0</v>
      </c>
      <c r="AM79" s="4">
        <f t="shared" si="64"/>
        <v>1</v>
      </c>
      <c r="AN79" s="4">
        <f t="shared" si="74"/>
        <v>0</v>
      </c>
      <c r="AO79" s="4">
        <f t="shared" si="75"/>
        <v>1</v>
      </c>
    </row>
    <row r="80" spans="2:41" ht="12.75">
      <c r="B80" s="10"/>
      <c r="C80" s="10"/>
      <c r="D80" s="10"/>
      <c r="E80" s="10"/>
      <c r="F80" s="10"/>
      <c r="G80" s="10"/>
      <c r="H80" s="107">
        <f t="shared" si="76"/>
        <v>70</v>
      </c>
      <c r="I80" s="98">
        <f ca="1" t="shared" si="65"/>
        <v>0.3351642585186002</v>
      </c>
      <c r="J80" s="99"/>
      <c r="K80" s="97">
        <f t="shared" si="47"/>
        <v>247.1606005737035</v>
      </c>
      <c r="L80" s="70">
        <f t="shared" si="48"/>
        <v>2423782.7331429403</v>
      </c>
      <c r="M80" s="70">
        <f t="shared" si="49"/>
        <v>2423782.7331429403</v>
      </c>
      <c r="N80" s="100">
        <f t="shared" si="66"/>
        <v>599.0635959837817</v>
      </c>
      <c r="O80" s="28"/>
      <c r="P80" s="97">
        <f t="shared" si="50"/>
        <v>247.1606005737035</v>
      </c>
      <c r="Q80" s="70">
        <f t="shared" si="51"/>
        <v>2423782.7331429403</v>
      </c>
      <c r="R80" s="70">
        <f t="shared" si="52"/>
        <v>2423782.7331429403</v>
      </c>
      <c r="S80" s="70">
        <f t="shared" si="67"/>
        <v>599.0635959837817</v>
      </c>
      <c r="T80" s="101">
        <f t="shared" si="53"/>
        <v>0</v>
      </c>
      <c r="U80" s="102">
        <f t="shared" si="54"/>
        <v>0</v>
      </c>
      <c r="V80" s="103"/>
      <c r="W80" s="97">
        <f t="shared" si="55"/>
        <v>300</v>
      </c>
      <c r="X80" s="70">
        <f t="shared" si="56"/>
        <v>2670328.5170372</v>
      </c>
      <c r="Y80" s="70">
        <f t="shared" si="57"/>
        <v>2200000.0000000047</v>
      </c>
      <c r="Z80" s="70">
        <f t="shared" si="68"/>
        <v>801.09855511116</v>
      </c>
      <c r="AA80" s="68">
        <f t="shared" si="69"/>
        <v>470328.51703719515</v>
      </c>
      <c r="AB80" s="101">
        <f t="shared" si="70"/>
        <v>2009000.2010374367</v>
      </c>
      <c r="AC80" s="104">
        <f t="shared" si="71"/>
        <v>141.09855511115856</v>
      </c>
      <c r="AD80" s="104">
        <f t="shared" si="58"/>
        <v>11.758212925929877</v>
      </c>
      <c r="AE80" s="105">
        <f t="shared" si="59"/>
        <v>20.090002010374366</v>
      </c>
      <c r="AF80" s="105">
        <f t="shared" si="60"/>
        <v>45.20250452334233</v>
      </c>
      <c r="AG80" s="105">
        <f t="shared" si="72"/>
        <v>218.14927457080515</v>
      </c>
      <c r="AH80" s="106">
        <f t="shared" si="73"/>
        <v>3097.3219737266904</v>
      </c>
      <c r="AI80" s="95">
        <f t="shared" si="61"/>
        <v>1902.6780262733096</v>
      </c>
      <c r="AK80" s="4">
        <f t="shared" si="62"/>
        <v>0</v>
      </c>
      <c r="AL80" s="4">
        <f t="shared" si="63"/>
        <v>0</v>
      </c>
      <c r="AM80" s="4">
        <f t="shared" si="64"/>
        <v>1</v>
      </c>
      <c r="AN80" s="4">
        <f t="shared" si="74"/>
        <v>0</v>
      </c>
      <c r="AO80" s="4">
        <f t="shared" si="75"/>
        <v>1</v>
      </c>
    </row>
    <row r="81" spans="2:41" ht="12.75">
      <c r="B81" s="10"/>
      <c r="C81" s="10"/>
      <c r="D81" s="10"/>
      <c r="E81" s="10"/>
      <c r="F81" s="10"/>
      <c r="G81" s="10"/>
      <c r="H81" s="107">
        <f t="shared" si="76"/>
        <v>71</v>
      </c>
      <c r="I81" s="98">
        <f ca="1" t="shared" si="65"/>
        <v>-0.06278796506103244</v>
      </c>
      <c r="J81" s="99"/>
      <c r="K81" s="97">
        <f t="shared" si="47"/>
        <v>352.1081545026158</v>
      </c>
      <c r="L81" s="70">
        <f t="shared" si="48"/>
        <v>2030697.6519736894</v>
      </c>
      <c r="M81" s="70">
        <f t="shared" si="49"/>
        <v>2030697.6519736894</v>
      </c>
      <c r="N81" s="100">
        <f t="shared" si="66"/>
        <v>715.025202589251</v>
      </c>
      <c r="O81" s="28"/>
      <c r="P81" s="97">
        <f t="shared" si="50"/>
        <v>352.1081545026158</v>
      </c>
      <c r="Q81" s="70">
        <f t="shared" si="51"/>
        <v>2030697.6519736894</v>
      </c>
      <c r="R81" s="70">
        <f t="shared" si="52"/>
        <v>2030697.6519736894</v>
      </c>
      <c r="S81" s="70">
        <f t="shared" si="67"/>
        <v>715.025202589251</v>
      </c>
      <c r="T81" s="101">
        <f t="shared" si="53"/>
        <v>0</v>
      </c>
      <c r="U81" s="102">
        <f t="shared" si="54"/>
        <v>0</v>
      </c>
      <c r="V81" s="103"/>
      <c r="W81" s="97">
        <f t="shared" si="55"/>
        <v>352.1081545026158</v>
      </c>
      <c r="X81" s="70">
        <f t="shared" si="56"/>
        <v>2030697.6519736894</v>
      </c>
      <c r="Y81" s="70">
        <f t="shared" si="57"/>
        <v>2030697.6519736894</v>
      </c>
      <c r="Z81" s="70">
        <f t="shared" si="68"/>
        <v>715.025202589251</v>
      </c>
      <c r="AA81" s="68">
        <f t="shared" si="69"/>
        <v>0</v>
      </c>
      <c r="AB81" s="101">
        <f t="shared" si="70"/>
        <v>2009000.2010374367</v>
      </c>
      <c r="AC81" s="104">
        <f t="shared" si="71"/>
        <v>0</v>
      </c>
      <c r="AD81" s="104">
        <f t="shared" si="58"/>
        <v>0</v>
      </c>
      <c r="AE81" s="105">
        <f t="shared" si="59"/>
        <v>20.090002010374366</v>
      </c>
      <c r="AF81" s="105">
        <f t="shared" si="60"/>
        <v>53.0539014887007</v>
      </c>
      <c r="AG81" s="105">
        <f t="shared" si="72"/>
        <v>73.14390349907507</v>
      </c>
      <c r="AH81" s="106">
        <f t="shared" si="73"/>
        <v>3170.4658772257653</v>
      </c>
      <c r="AI81" s="95">
        <f t="shared" si="61"/>
        <v>1829.5341227742347</v>
      </c>
      <c r="AK81" s="4">
        <f t="shared" si="62"/>
        <v>0</v>
      </c>
      <c r="AL81" s="4">
        <f t="shared" si="63"/>
        <v>0</v>
      </c>
      <c r="AM81" s="4">
        <f t="shared" si="64"/>
        <v>1</v>
      </c>
      <c r="AN81" s="4">
        <f t="shared" si="74"/>
        <v>0</v>
      </c>
      <c r="AO81" s="4">
        <f t="shared" si="75"/>
        <v>0</v>
      </c>
    </row>
    <row r="82" spans="2:41" ht="12.75">
      <c r="B82" s="10"/>
      <c r="C82" s="10"/>
      <c r="D82" s="10"/>
      <c r="E82" s="10"/>
      <c r="F82" s="10"/>
      <c r="G82" s="10"/>
      <c r="H82" s="107">
        <f t="shared" si="76"/>
        <v>72</v>
      </c>
      <c r="I82" s="98">
        <f ca="1" t="shared" si="65"/>
        <v>-0.13322720017043624</v>
      </c>
      <c r="J82" s="99"/>
      <c r="K82" s="97">
        <f t="shared" si="47"/>
        <v>380.7226069679271</v>
      </c>
      <c r="L82" s="70">
        <f t="shared" si="48"/>
        <v>1952895.3682289496</v>
      </c>
      <c r="M82" s="70">
        <f t="shared" si="49"/>
        <v>1952895.3682289496</v>
      </c>
      <c r="N82" s="100">
        <f t="shared" si="66"/>
        <v>743.5114157277156</v>
      </c>
      <c r="O82" s="28"/>
      <c r="P82" s="97">
        <f t="shared" si="50"/>
        <v>380.7226069679271</v>
      </c>
      <c r="Q82" s="70">
        <f t="shared" si="51"/>
        <v>1952895.3682289496</v>
      </c>
      <c r="R82" s="70">
        <f t="shared" si="52"/>
        <v>1952895.3682289496</v>
      </c>
      <c r="S82" s="70">
        <f t="shared" si="67"/>
        <v>743.5114157277156</v>
      </c>
      <c r="T82" s="101">
        <f t="shared" si="53"/>
        <v>0</v>
      </c>
      <c r="U82" s="102">
        <f t="shared" si="54"/>
        <v>0</v>
      </c>
      <c r="V82" s="103"/>
      <c r="W82" s="97">
        <f t="shared" si="55"/>
        <v>380.7226069679271</v>
      </c>
      <c r="X82" s="70">
        <f t="shared" si="56"/>
        <v>1952895.3682289496</v>
      </c>
      <c r="Y82" s="70">
        <f t="shared" si="57"/>
        <v>1952895.3682289496</v>
      </c>
      <c r="Z82" s="70">
        <f t="shared" si="68"/>
        <v>743.5114157277156</v>
      </c>
      <c r="AA82" s="68">
        <f t="shared" si="69"/>
        <v>0</v>
      </c>
      <c r="AB82" s="101">
        <f t="shared" si="70"/>
        <v>2009000.2010374367</v>
      </c>
      <c r="AC82" s="104">
        <f t="shared" si="71"/>
        <v>0</v>
      </c>
      <c r="AD82" s="104">
        <f t="shared" si="58"/>
        <v>0</v>
      </c>
      <c r="AE82" s="105">
        <f t="shared" si="59"/>
        <v>20.090002010374366</v>
      </c>
      <c r="AF82" s="105">
        <f t="shared" si="60"/>
        <v>57.365384545354694</v>
      </c>
      <c r="AG82" s="105">
        <f t="shared" si="72"/>
        <v>77.45538655572906</v>
      </c>
      <c r="AH82" s="106">
        <f t="shared" si="73"/>
        <v>3247.9212637814944</v>
      </c>
      <c r="AI82" s="95">
        <f t="shared" si="61"/>
        <v>1752.0787362185056</v>
      </c>
      <c r="AK82" s="4">
        <f t="shared" si="62"/>
        <v>0</v>
      </c>
      <c r="AL82" s="4">
        <f t="shared" si="63"/>
        <v>0</v>
      </c>
      <c r="AM82" s="4">
        <f t="shared" si="64"/>
        <v>1</v>
      </c>
      <c r="AN82" s="4">
        <f t="shared" si="74"/>
        <v>0</v>
      </c>
      <c r="AO82" s="4">
        <f t="shared" si="75"/>
        <v>0</v>
      </c>
    </row>
    <row r="83" spans="2:41" ht="12.75">
      <c r="B83" s="10"/>
      <c r="C83" s="10"/>
      <c r="D83" s="10"/>
      <c r="E83" s="10"/>
      <c r="F83" s="10"/>
      <c r="G83" s="10"/>
      <c r="H83" s="107">
        <f t="shared" si="76"/>
        <v>73</v>
      </c>
      <c r="I83" s="98">
        <f ca="1" t="shared" si="65"/>
        <v>-0.422877216524671</v>
      </c>
      <c r="J83" s="99"/>
      <c r="K83" s="97">
        <f t="shared" si="47"/>
        <v>571.802066126727</v>
      </c>
      <c r="L83" s="70">
        <f t="shared" si="48"/>
        <v>1593530.7487750147</v>
      </c>
      <c r="M83" s="70">
        <f t="shared" si="49"/>
        <v>1593530.7487750116</v>
      </c>
      <c r="N83" s="100">
        <f t="shared" si="66"/>
        <v>911.1841745860238</v>
      </c>
      <c r="O83" s="28"/>
      <c r="P83" s="97">
        <f t="shared" si="50"/>
        <v>400</v>
      </c>
      <c r="Q83" s="70">
        <f t="shared" si="51"/>
        <v>1332807.977579789</v>
      </c>
      <c r="R83" s="70">
        <f t="shared" si="52"/>
        <v>1905255.8883257702</v>
      </c>
      <c r="S83" s="70">
        <f t="shared" si="67"/>
        <v>533.1231910319156</v>
      </c>
      <c r="T83" s="101">
        <f t="shared" si="53"/>
        <v>572447.9107459811</v>
      </c>
      <c r="U83" s="102">
        <f t="shared" si="54"/>
        <v>0</v>
      </c>
      <c r="V83" s="103"/>
      <c r="W83" s="97">
        <f t="shared" si="55"/>
        <v>400</v>
      </c>
      <c r="X83" s="70">
        <f t="shared" si="56"/>
        <v>1332807.977579789</v>
      </c>
      <c r="Y83" s="70">
        <f t="shared" si="57"/>
        <v>1905255.8883257702</v>
      </c>
      <c r="Z83" s="70">
        <f t="shared" si="68"/>
        <v>533.1231910319156</v>
      </c>
      <c r="AA83" s="68">
        <f t="shared" si="69"/>
        <v>-572447.9107459811</v>
      </c>
      <c r="AB83" s="101">
        <f t="shared" si="70"/>
        <v>1436552.2902914556</v>
      </c>
      <c r="AC83" s="104">
        <f t="shared" si="71"/>
        <v>-228.97916429839248</v>
      </c>
      <c r="AD83" s="104">
        <f t="shared" si="58"/>
        <v>14.31119776864953</v>
      </c>
      <c r="AE83" s="105">
        <f t="shared" si="59"/>
        <v>14.365522902914556</v>
      </c>
      <c r="AF83" s="105">
        <f t="shared" si="60"/>
        <v>43.096568708743675</v>
      </c>
      <c r="AG83" s="105">
        <f t="shared" si="72"/>
        <v>-157.2058749180847</v>
      </c>
      <c r="AH83" s="106">
        <f t="shared" si="73"/>
        <v>3090.7153888634098</v>
      </c>
      <c r="AI83" s="95">
        <f t="shared" si="61"/>
        <v>1909.2846111365902</v>
      </c>
      <c r="AK83" s="4">
        <f t="shared" si="62"/>
        <v>0</v>
      </c>
      <c r="AL83" s="4">
        <f t="shared" si="63"/>
        <v>0</v>
      </c>
      <c r="AM83" s="4">
        <f t="shared" si="64"/>
        <v>1</v>
      </c>
      <c r="AN83" s="4">
        <f t="shared" si="74"/>
        <v>1</v>
      </c>
      <c r="AO83" s="4">
        <f t="shared" si="75"/>
        <v>0</v>
      </c>
    </row>
    <row r="84" spans="2:41" ht="12.75">
      <c r="B84" s="10"/>
      <c r="C84" s="10"/>
      <c r="D84" s="10"/>
      <c r="E84" s="10"/>
      <c r="F84" s="10"/>
      <c r="G84" s="10"/>
      <c r="H84" s="107">
        <f t="shared" si="76"/>
        <v>74</v>
      </c>
      <c r="I84" s="98">
        <f ca="1" t="shared" si="65"/>
        <v>-0.16260583835403933</v>
      </c>
      <c r="J84" s="99"/>
      <c r="K84" s="97">
        <f t="shared" si="47"/>
        <v>394.07965222895893</v>
      </c>
      <c r="L84" s="70">
        <f t="shared" si="48"/>
        <v>1919514.0820640607</v>
      </c>
      <c r="M84" s="70">
        <f t="shared" si="49"/>
        <v>1919514.0820640607</v>
      </c>
      <c r="N84" s="100">
        <f t="shared" si="66"/>
        <v>756.4414419083944</v>
      </c>
      <c r="O84" s="28"/>
      <c r="P84" s="97">
        <f t="shared" si="50"/>
        <v>394.07965222895893</v>
      </c>
      <c r="Q84" s="70">
        <f t="shared" si="51"/>
        <v>1919514.0820640607</v>
      </c>
      <c r="R84" s="70">
        <f t="shared" si="52"/>
        <v>1919514.0820640607</v>
      </c>
      <c r="S84" s="70">
        <f t="shared" si="67"/>
        <v>756.4414419083944</v>
      </c>
      <c r="T84" s="101">
        <f t="shared" si="53"/>
        <v>0</v>
      </c>
      <c r="U84" s="102">
        <f t="shared" si="54"/>
        <v>0</v>
      </c>
      <c r="V84" s="103"/>
      <c r="W84" s="97">
        <f t="shared" si="55"/>
        <v>394.07965222895893</v>
      </c>
      <c r="X84" s="70">
        <f t="shared" si="56"/>
        <v>1919514.0820640607</v>
      </c>
      <c r="Y84" s="70">
        <f t="shared" si="57"/>
        <v>1919514.0820640607</v>
      </c>
      <c r="Z84" s="70">
        <f t="shared" si="68"/>
        <v>756.4414419083944</v>
      </c>
      <c r="AA84" s="68">
        <f t="shared" si="69"/>
        <v>0</v>
      </c>
      <c r="AB84" s="101">
        <f t="shared" si="70"/>
        <v>1436552.2902914556</v>
      </c>
      <c r="AC84" s="104">
        <f t="shared" si="71"/>
        <v>0</v>
      </c>
      <c r="AD84" s="104">
        <f t="shared" si="58"/>
        <v>0</v>
      </c>
      <c r="AE84" s="105">
        <f t="shared" si="59"/>
        <v>14.365522902914556</v>
      </c>
      <c r="AF84" s="105">
        <f t="shared" si="60"/>
        <v>42.45870202250784</v>
      </c>
      <c r="AG84" s="105">
        <f t="shared" si="72"/>
        <v>56.8242249254224</v>
      </c>
      <c r="AH84" s="106">
        <f t="shared" si="73"/>
        <v>3147.539613788832</v>
      </c>
      <c r="AI84" s="95">
        <f t="shared" si="61"/>
        <v>1852.460386211168</v>
      </c>
      <c r="AK84" s="4">
        <f t="shared" si="62"/>
        <v>0</v>
      </c>
      <c r="AL84" s="4">
        <f t="shared" si="63"/>
        <v>0</v>
      </c>
      <c r="AM84" s="4">
        <f t="shared" si="64"/>
        <v>1</v>
      </c>
      <c r="AN84" s="4">
        <f t="shared" si="74"/>
        <v>0</v>
      </c>
      <c r="AO84" s="4">
        <f t="shared" si="75"/>
        <v>0</v>
      </c>
    </row>
    <row r="85" spans="2:41" ht="12.75">
      <c r="B85" s="10"/>
      <c r="C85" s="10"/>
      <c r="D85" s="10"/>
      <c r="E85" s="10"/>
      <c r="F85" s="10"/>
      <c r="G85" s="10"/>
      <c r="H85" s="107">
        <f t="shared" si="76"/>
        <v>75</v>
      </c>
      <c r="I85" s="98">
        <f ca="1" t="shared" si="65"/>
        <v>-0.2691659531757972</v>
      </c>
      <c r="J85" s="99"/>
      <c r="K85" s="97">
        <f t="shared" si="47"/>
        <v>451.5388978304948</v>
      </c>
      <c r="L85" s="70">
        <f t="shared" si="48"/>
        <v>1793228.8772007043</v>
      </c>
      <c r="M85" s="70">
        <f t="shared" si="49"/>
        <v>1793228.8772007043</v>
      </c>
      <c r="N85" s="100">
        <f t="shared" si="66"/>
        <v>809.7125907690217</v>
      </c>
      <c r="O85" s="28"/>
      <c r="P85" s="97">
        <f t="shared" si="50"/>
        <v>400</v>
      </c>
      <c r="Q85" s="70">
        <f t="shared" si="51"/>
        <v>1687788.9346675868</v>
      </c>
      <c r="R85" s="70">
        <f t="shared" si="52"/>
        <v>1905255.8883257702</v>
      </c>
      <c r="S85" s="70">
        <f t="shared" si="67"/>
        <v>675.1155738670346</v>
      </c>
      <c r="T85" s="101">
        <f t="shared" si="53"/>
        <v>217466.95365818334</v>
      </c>
      <c r="U85" s="102">
        <f t="shared" si="54"/>
        <v>0</v>
      </c>
      <c r="V85" s="103"/>
      <c r="W85" s="97">
        <f t="shared" si="55"/>
        <v>400</v>
      </c>
      <c r="X85" s="70">
        <f t="shared" si="56"/>
        <v>1687788.9346675868</v>
      </c>
      <c r="Y85" s="70">
        <f t="shared" si="57"/>
        <v>1905255.8883257702</v>
      </c>
      <c r="Z85" s="70">
        <f t="shared" si="68"/>
        <v>675.1155738670346</v>
      </c>
      <c r="AA85" s="68">
        <f t="shared" si="69"/>
        <v>-217466.95365818334</v>
      </c>
      <c r="AB85" s="101">
        <f t="shared" si="70"/>
        <v>1219085.3366332722</v>
      </c>
      <c r="AC85" s="104">
        <f t="shared" si="71"/>
        <v>-86.98678146327333</v>
      </c>
      <c r="AD85" s="104">
        <f t="shared" si="58"/>
        <v>5.436673841454583</v>
      </c>
      <c r="AE85" s="105">
        <f t="shared" si="59"/>
        <v>12.190853366332723</v>
      </c>
      <c r="AF85" s="105">
        <f t="shared" si="60"/>
        <v>36.57256009899817</v>
      </c>
      <c r="AG85" s="105">
        <f t="shared" si="72"/>
        <v>-32.78669415648787</v>
      </c>
      <c r="AH85" s="106">
        <f t="shared" si="73"/>
        <v>3114.752919632344</v>
      </c>
      <c r="AI85" s="95">
        <f t="shared" si="61"/>
        <v>1885.247080367656</v>
      </c>
      <c r="AK85" s="4">
        <f t="shared" si="62"/>
        <v>0</v>
      </c>
      <c r="AL85" s="4">
        <f t="shared" si="63"/>
        <v>0</v>
      </c>
      <c r="AM85" s="4">
        <f t="shared" si="64"/>
        <v>1</v>
      </c>
      <c r="AN85" s="4">
        <f t="shared" si="74"/>
        <v>1</v>
      </c>
      <c r="AO85" s="4">
        <f t="shared" si="75"/>
        <v>0</v>
      </c>
    </row>
    <row r="86" spans="2:41" ht="12.75">
      <c r="B86" s="10"/>
      <c r="C86" s="10"/>
      <c r="D86" s="10"/>
      <c r="E86" s="10"/>
      <c r="F86" s="10"/>
      <c r="G86" s="10"/>
      <c r="H86" s="107">
        <f t="shared" si="76"/>
        <v>76</v>
      </c>
      <c r="I86" s="98">
        <f ca="1" t="shared" si="65"/>
        <v>-0.11730560188567844</v>
      </c>
      <c r="J86" s="99"/>
      <c r="K86" s="97">
        <f t="shared" si="47"/>
        <v>373.85532377340513</v>
      </c>
      <c r="L86" s="70">
        <f t="shared" si="48"/>
        <v>1970749.9465185895</v>
      </c>
      <c r="M86" s="70">
        <f t="shared" si="49"/>
        <v>1970749.9465185895</v>
      </c>
      <c r="N86" s="100">
        <f t="shared" si="66"/>
        <v>736.7753593321281</v>
      </c>
      <c r="O86" s="28"/>
      <c r="P86" s="97">
        <f t="shared" si="50"/>
        <v>373.85532377340513</v>
      </c>
      <c r="Q86" s="70">
        <f t="shared" si="51"/>
        <v>1970749.9465185895</v>
      </c>
      <c r="R86" s="70">
        <f t="shared" si="52"/>
        <v>1970749.9465185895</v>
      </c>
      <c r="S86" s="70">
        <f t="shared" si="67"/>
        <v>736.7753593321281</v>
      </c>
      <c r="T86" s="101">
        <f t="shared" si="53"/>
        <v>0</v>
      </c>
      <c r="U86" s="102">
        <f t="shared" si="54"/>
        <v>0</v>
      </c>
      <c r="V86" s="103"/>
      <c r="W86" s="97">
        <f t="shared" si="55"/>
        <v>373.85532377340513</v>
      </c>
      <c r="X86" s="70">
        <f t="shared" si="56"/>
        <v>1970749.9465185895</v>
      </c>
      <c r="Y86" s="70">
        <f t="shared" si="57"/>
        <v>1970749.9465185895</v>
      </c>
      <c r="Z86" s="70">
        <f t="shared" si="68"/>
        <v>736.7753593321281</v>
      </c>
      <c r="AA86" s="68">
        <f t="shared" si="69"/>
        <v>0</v>
      </c>
      <c r="AB86" s="101">
        <f t="shared" si="70"/>
        <v>1219085.3366332722</v>
      </c>
      <c r="AC86" s="104">
        <f t="shared" si="71"/>
        <v>0</v>
      </c>
      <c r="AD86" s="104">
        <f t="shared" si="58"/>
        <v>0</v>
      </c>
      <c r="AE86" s="105">
        <f t="shared" si="59"/>
        <v>12.190853366332723</v>
      </c>
      <c r="AF86" s="105">
        <f t="shared" si="60"/>
        <v>34.1821157425832</v>
      </c>
      <c r="AG86" s="105">
        <f t="shared" si="72"/>
        <v>46.372969108915925</v>
      </c>
      <c r="AH86" s="106">
        <f t="shared" si="73"/>
        <v>3161.12588874126</v>
      </c>
      <c r="AI86" s="95">
        <f t="shared" si="61"/>
        <v>1838.87411125874</v>
      </c>
      <c r="AK86" s="4">
        <f t="shared" si="62"/>
        <v>0</v>
      </c>
      <c r="AL86" s="4">
        <f t="shared" si="63"/>
        <v>0</v>
      </c>
      <c r="AM86" s="4">
        <f t="shared" si="64"/>
        <v>1</v>
      </c>
      <c r="AN86" s="4">
        <f t="shared" si="74"/>
        <v>0</v>
      </c>
      <c r="AO86" s="4">
        <f t="shared" si="75"/>
        <v>0</v>
      </c>
    </row>
    <row r="87" spans="2:41" ht="12.75">
      <c r="B87" s="10"/>
      <c r="C87" s="10"/>
      <c r="D87" s="10"/>
      <c r="E87" s="10"/>
      <c r="F87" s="10"/>
      <c r="G87" s="10"/>
      <c r="H87" s="107">
        <f t="shared" si="76"/>
        <v>77</v>
      </c>
      <c r="I87" s="98">
        <f ca="1" t="shared" si="65"/>
        <v>0.06058302741433474</v>
      </c>
      <c r="J87" s="99"/>
      <c r="K87" s="97">
        <f t="shared" si="47"/>
        <v>311.1496143819402</v>
      </c>
      <c r="L87" s="70">
        <f t="shared" si="48"/>
        <v>2160223.442290887</v>
      </c>
      <c r="M87" s="70">
        <f t="shared" si="49"/>
        <v>2160223.442290887</v>
      </c>
      <c r="N87" s="100">
        <f t="shared" si="66"/>
        <v>672.1526910476368</v>
      </c>
      <c r="O87" s="28"/>
      <c r="P87" s="97">
        <f t="shared" si="50"/>
        <v>311.1496143819402</v>
      </c>
      <c r="Q87" s="70">
        <f t="shared" si="51"/>
        <v>2160223.442290887</v>
      </c>
      <c r="R87" s="70">
        <f t="shared" si="52"/>
        <v>2160223.442290887</v>
      </c>
      <c r="S87" s="70">
        <f t="shared" si="67"/>
        <v>672.1526910476368</v>
      </c>
      <c r="T87" s="101">
        <f t="shared" si="53"/>
        <v>0</v>
      </c>
      <c r="U87" s="102">
        <f t="shared" si="54"/>
        <v>0</v>
      </c>
      <c r="V87" s="103"/>
      <c r="W87" s="97">
        <f t="shared" si="55"/>
        <v>311.1496143819402</v>
      </c>
      <c r="X87" s="70">
        <f t="shared" si="56"/>
        <v>2160223.442290887</v>
      </c>
      <c r="Y87" s="70">
        <f t="shared" si="57"/>
        <v>2160223.442290887</v>
      </c>
      <c r="Z87" s="70">
        <f t="shared" si="68"/>
        <v>672.1526910476368</v>
      </c>
      <c r="AA87" s="68">
        <f t="shared" si="69"/>
        <v>0</v>
      </c>
      <c r="AB87" s="101">
        <f t="shared" si="70"/>
        <v>1219085.3366332722</v>
      </c>
      <c r="AC87" s="104">
        <f t="shared" si="71"/>
        <v>0</v>
      </c>
      <c r="AD87" s="104">
        <f t="shared" si="58"/>
        <v>0</v>
      </c>
      <c r="AE87" s="105">
        <f t="shared" si="59"/>
        <v>12.190853366332723</v>
      </c>
      <c r="AF87" s="105">
        <f t="shared" si="60"/>
        <v>28.448844929409034</v>
      </c>
      <c r="AG87" s="105">
        <f t="shared" si="72"/>
        <v>40.63969829574176</v>
      </c>
      <c r="AH87" s="106">
        <f t="shared" si="73"/>
        <v>3201.7655870370018</v>
      </c>
      <c r="AI87" s="95">
        <f t="shared" si="61"/>
        <v>1798.2344129629982</v>
      </c>
      <c r="AK87" s="4">
        <f t="shared" si="62"/>
        <v>0</v>
      </c>
      <c r="AL87" s="4">
        <f t="shared" si="63"/>
        <v>0</v>
      </c>
      <c r="AM87" s="4">
        <f t="shared" si="64"/>
        <v>1</v>
      </c>
      <c r="AN87" s="4">
        <f t="shared" si="74"/>
        <v>0</v>
      </c>
      <c r="AO87" s="4">
        <f t="shared" si="75"/>
        <v>0</v>
      </c>
    </row>
    <row r="88" spans="2:41" ht="12.75">
      <c r="B88" s="10"/>
      <c r="C88" s="10"/>
      <c r="D88" s="10"/>
      <c r="E88" s="10"/>
      <c r="F88" s="10"/>
      <c r="G88" s="10"/>
      <c r="H88" s="107">
        <f t="shared" si="76"/>
        <v>78</v>
      </c>
      <c r="I88" s="98">
        <f ca="1" t="shared" si="65"/>
        <v>-0.09676988463776807</v>
      </c>
      <c r="J88" s="99"/>
      <c r="K88" s="97">
        <f t="shared" si="47"/>
        <v>365.3553999001211</v>
      </c>
      <c r="L88" s="70">
        <f t="shared" si="48"/>
        <v>1993542.7027264356</v>
      </c>
      <c r="M88" s="70">
        <f t="shared" si="49"/>
        <v>1993542.7027264356</v>
      </c>
      <c r="N88" s="100">
        <f t="shared" si="66"/>
        <v>728.3515913725851</v>
      </c>
      <c r="O88" s="28"/>
      <c r="P88" s="97">
        <f t="shared" si="50"/>
        <v>365.3553999001211</v>
      </c>
      <c r="Q88" s="70">
        <f t="shared" si="51"/>
        <v>1993542.7027264356</v>
      </c>
      <c r="R88" s="70">
        <f t="shared" si="52"/>
        <v>1993542.7027264356</v>
      </c>
      <c r="S88" s="70">
        <f t="shared" si="67"/>
        <v>728.3515913725851</v>
      </c>
      <c r="T88" s="101">
        <f t="shared" si="53"/>
        <v>0</v>
      </c>
      <c r="U88" s="102">
        <f t="shared" si="54"/>
        <v>0</v>
      </c>
      <c r="V88" s="103"/>
      <c r="W88" s="97">
        <f t="shared" si="55"/>
        <v>365.3553999001211</v>
      </c>
      <c r="X88" s="70">
        <f t="shared" si="56"/>
        <v>1993542.7027264356</v>
      </c>
      <c r="Y88" s="70">
        <f t="shared" si="57"/>
        <v>1993542.7027264356</v>
      </c>
      <c r="Z88" s="70">
        <f t="shared" si="68"/>
        <v>728.3515913725851</v>
      </c>
      <c r="AA88" s="68">
        <f t="shared" si="69"/>
        <v>0</v>
      </c>
      <c r="AB88" s="101">
        <f t="shared" si="70"/>
        <v>1219085.3366332722</v>
      </c>
      <c r="AC88" s="104">
        <f t="shared" si="71"/>
        <v>0</v>
      </c>
      <c r="AD88" s="104">
        <f t="shared" si="58"/>
        <v>0</v>
      </c>
      <c r="AE88" s="105">
        <f t="shared" si="59"/>
        <v>12.190853366332723</v>
      </c>
      <c r="AF88" s="105">
        <f t="shared" si="60"/>
        <v>33.404955800851724</v>
      </c>
      <c r="AG88" s="105">
        <f t="shared" si="72"/>
        <v>45.59580916718445</v>
      </c>
      <c r="AH88" s="106">
        <f t="shared" si="73"/>
        <v>3247.3613962041863</v>
      </c>
      <c r="AI88" s="95">
        <f t="shared" si="61"/>
        <v>1752.6386037958137</v>
      </c>
      <c r="AK88" s="4">
        <f t="shared" si="62"/>
        <v>0</v>
      </c>
      <c r="AL88" s="4">
        <f t="shared" si="63"/>
        <v>0</v>
      </c>
      <c r="AM88" s="4">
        <f t="shared" si="64"/>
        <v>1</v>
      </c>
      <c r="AN88" s="4">
        <f t="shared" si="74"/>
        <v>0</v>
      </c>
      <c r="AO88" s="4">
        <f t="shared" si="75"/>
        <v>0</v>
      </c>
    </row>
    <row r="89" spans="2:41" ht="12.75">
      <c r="B89" s="10"/>
      <c r="C89" s="10"/>
      <c r="D89" s="10"/>
      <c r="E89" s="10"/>
      <c r="F89" s="10"/>
      <c r="G89" s="10"/>
      <c r="H89" s="107">
        <f t="shared" si="76"/>
        <v>79</v>
      </c>
      <c r="I89" s="98">
        <f ca="1" t="shared" si="65"/>
        <v>-0.14759398980512944</v>
      </c>
      <c r="J89" s="99"/>
      <c r="K89" s="97">
        <f t="shared" si="47"/>
        <v>387.13945708167734</v>
      </c>
      <c r="L89" s="70">
        <f t="shared" si="48"/>
        <v>1936643.0865953194</v>
      </c>
      <c r="M89" s="70">
        <f t="shared" si="49"/>
        <v>1936643.086595316</v>
      </c>
      <c r="N89" s="100">
        <f t="shared" si="66"/>
        <v>749.7509531054958</v>
      </c>
      <c r="O89" s="28"/>
      <c r="P89" s="97">
        <f t="shared" si="50"/>
        <v>387.13945708167734</v>
      </c>
      <c r="Q89" s="70">
        <f t="shared" si="51"/>
        <v>1936643.0865953194</v>
      </c>
      <c r="R89" s="70">
        <f t="shared" si="52"/>
        <v>1936643.086595316</v>
      </c>
      <c r="S89" s="70">
        <f t="shared" si="67"/>
        <v>749.7509531054958</v>
      </c>
      <c r="T89" s="101">
        <f t="shared" si="53"/>
        <v>-3.4924596548080444E-09</v>
      </c>
      <c r="U89" s="102">
        <f t="shared" si="54"/>
        <v>0</v>
      </c>
      <c r="V89" s="103"/>
      <c r="W89" s="97">
        <f t="shared" si="55"/>
        <v>387.13945708167734</v>
      </c>
      <c r="X89" s="70">
        <f t="shared" si="56"/>
        <v>1936643.0865953194</v>
      </c>
      <c r="Y89" s="70">
        <f t="shared" si="57"/>
        <v>1936643.086595316</v>
      </c>
      <c r="Z89" s="70">
        <f t="shared" si="68"/>
        <v>749.7509531054958</v>
      </c>
      <c r="AA89" s="68">
        <f t="shared" si="69"/>
        <v>3.4924596548080444E-09</v>
      </c>
      <c r="AB89" s="101">
        <f t="shared" si="70"/>
        <v>1219085.3366332757</v>
      </c>
      <c r="AC89" s="104">
        <f t="shared" si="71"/>
        <v>1.3520689346420485E-12</v>
      </c>
      <c r="AD89" s="104">
        <f t="shared" si="58"/>
        <v>8.731149137020111E-14</v>
      </c>
      <c r="AE89" s="105">
        <f t="shared" si="59"/>
        <v>12.190853366332759</v>
      </c>
      <c r="AF89" s="105">
        <f t="shared" si="60"/>
        <v>35.396702652033014</v>
      </c>
      <c r="AG89" s="105">
        <f t="shared" si="72"/>
        <v>47.58755601836721</v>
      </c>
      <c r="AH89" s="106">
        <f t="shared" si="73"/>
        <v>3294.9489522225535</v>
      </c>
      <c r="AI89" s="95">
        <f t="shared" si="61"/>
        <v>1705.0510477774465</v>
      </c>
      <c r="AK89" s="4">
        <f t="shared" si="62"/>
        <v>0</v>
      </c>
      <c r="AL89" s="4">
        <f t="shared" si="63"/>
        <v>0</v>
      </c>
      <c r="AM89" s="4">
        <f t="shared" si="64"/>
        <v>1</v>
      </c>
      <c r="AN89" s="4">
        <f t="shared" si="74"/>
        <v>0</v>
      </c>
      <c r="AO89" s="4">
        <f t="shared" si="75"/>
        <v>1</v>
      </c>
    </row>
    <row r="90" spans="2:41" ht="12.75">
      <c r="B90" s="10"/>
      <c r="C90" s="10"/>
      <c r="D90" s="10"/>
      <c r="E90" s="10"/>
      <c r="F90" s="10"/>
      <c r="G90" s="10"/>
      <c r="H90" s="107">
        <f t="shared" si="76"/>
        <v>80</v>
      </c>
      <c r="I90" s="98">
        <f ca="1" t="shared" si="65"/>
        <v>0.29224948304368686</v>
      </c>
      <c r="J90" s="99"/>
      <c r="K90" s="97">
        <f t="shared" si="47"/>
        <v>255.3686453971245</v>
      </c>
      <c r="L90" s="70">
        <f t="shared" si="48"/>
        <v>2384512.0518446164</v>
      </c>
      <c r="M90" s="70">
        <f t="shared" si="49"/>
        <v>2384512.0518446164</v>
      </c>
      <c r="N90" s="100">
        <f t="shared" si="66"/>
        <v>608.9296126126776</v>
      </c>
      <c r="O90" s="28"/>
      <c r="P90" s="97">
        <f t="shared" si="50"/>
        <v>255.3686453971245</v>
      </c>
      <c r="Q90" s="70">
        <f t="shared" si="51"/>
        <v>2384512.0518446164</v>
      </c>
      <c r="R90" s="70">
        <f t="shared" si="52"/>
        <v>2384512.0518446164</v>
      </c>
      <c r="S90" s="70">
        <f t="shared" si="67"/>
        <v>608.9296126126776</v>
      </c>
      <c r="T90" s="101">
        <f t="shared" si="53"/>
        <v>0</v>
      </c>
      <c r="U90" s="102">
        <f t="shared" si="54"/>
        <v>0</v>
      </c>
      <c r="V90" s="103"/>
      <c r="W90" s="97">
        <f t="shared" si="55"/>
        <v>300</v>
      </c>
      <c r="X90" s="70">
        <f t="shared" si="56"/>
        <v>2584498.9660873734</v>
      </c>
      <c r="Y90" s="70">
        <f t="shared" si="57"/>
        <v>2200000.0000000047</v>
      </c>
      <c r="Z90" s="70">
        <f t="shared" si="68"/>
        <v>775.349689826212</v>
      </c>
      <c r="AA90" s="68">
        <f t="shared" si="69"/>
        <v>384498.9660873688</v>
      </c>
      <c r="AB90" s="101">
        <f t="shared" si="70"/>
        <v>1603584.3027206445</v>
      </c>
      <c r="AC90" s="104">
        <f t="shared" si="71"/>
        <v>115.34968982621064</v>
      </c>
      <c r="AD90" s="104">
        <f t="shared" si="58"/>
        <v>9.61247415218422</v>
      </c>
      <c r="AE90" s="105">
        <f t="shared" si="59"/>
        <v>16.035843027206447</v>
      </c>
      <c r="AF90" s="105">
        <f t="shared" si="60"/>
        <v>36.08064681121451</v>
      </c>
      <c r="AG90" s="105">
        <f t="shared" si="72"/>
        <v>177.0786538168158</v>
      </c>
      <c r="AH90" s="106">
        <f t="shared" si="73"/>
        <v>3472.0276060393694</v>
      </c>
      <c r="AI90" s="95">
        <f t="shared" si="61"/>
        <v>1527.9723939606306</v>
      </c>
      <c r="AK90" s="4">
        <f t="shared" si="62"/>
        <v>0</v>
      </c>
      <c r="AL90" s="4">
        <f t="shared" si="63"/>
        <v>0</v>
      </c>
      <c r="AM90" s="4">
        <f t="shared" si="64"/>
        <v>1</v>
      </c>
      <c r="AN90" s="4">
        <f t="shared" si="74"/>
        <v>0</v>
      </c>
      <c r="AO90" s="4">
        <f t="shared" si="75"/>
        <v>1</v>
      </c>
    </row>
    <row r="91" spans="2:41" ht="12.75">
      <c r="B91" s="10"/>
      <c r="C91" s="10"/>
      <c r="D91" s="10"/>
      <c r="E91" s="10"/>
      <c r="F91" s="10"/>
      <c r="G91" s="10"/>
      <c r="H91" s="107">
        <f t="shared" si="76"/>
        <v>81</v>
      </c>
      <c r="I91" s="98">
        <f ca="1" t="shared" si="65"/>
        <v>-0.12757653353887236</v>
      </c>
      <c r="J91" s="99"/>
      <c r="K91" s="97">
        <f t="shared" si="47"/>
        <v>378.2566754406582</v>
      </c>
      <c r="L91" s="70">
        <f t="shared" si="48"/>
        <v>1959250.6864689281</v>
      </c>
      <c r="M91" s="70">
        <f t="shared" si="49"/>
        <v>1959250.6864689281</v>
      </c>
      <c r="N91" s="100">
        <f t="shared" si="66"/>
        <v>741.0996510185643</v>
      </c>
      <c r="O91" s="28"/>
      <c r="P91" s="97">
        <f t="shared" si="50"/>
        <v>378.2566754406582</v>
      </c>
      <c r="Q91" s="70">
        <f t="shared" si="51"/>
        <v>1959250.6864689281</v>
      </c>
      <c r="R91" s="70">
        <f t="shared" si="52"/>
        <v>1959250.6864689281</v>
      </c>
      <c r="S91" s="70">
        <f t="shared" si="67"/>
        <v>741.0996510185643</v>
      </c>
      <c r="T91" s="101">
        <f t="shared" si="53"/>
        <v>0</v>
      </c>
      <c r="U91" s="102">
        <f t="shared" si="54"/>
        <v>0</v>
      </c>
      <c r="V91" s="103"/>
      <c r="W91" s="97">
        <f t="shared" si="55"/>
        <v>378.2566754406582</v>
      </c>
      <c r="X91" s="70">
        <f t="shared" si="56"/>
        <v>1959250.6864689281</v>
      </c>
      <c r="Y91" s="70">
        <f t="shared" si="57"/>
        <v>1959250.6864689281</v>
      </c>
      <c r="Z91" s="70">
        <f t="shared" si="68"/>
        <v>741.0996510185643</v>
      </c>
      <c r="AA91" s="68">
        <f t="shared" si="69"/>
        <v>0</v>
      </c>
      <c r="AB91" s="101">
        <f t="shared" si="70"/>
        <v>1603584.3027206445</v>
      </c>
      <c r="AC91" s="104">
        <f t="shared" si="71"/>
        <v>0</v>
      </c>
      <c r="AD91" s="104">
        <f t="shared" si="58"/>
        <v>0</v>
      </c>
      <c r="AE91" s="105">
        <f t="shared" si="59"/>
        <v>16.035843027206447</v>
      </c>
      <c r="AF91" s="105">
        <f t="shared" si="60"/>
        <v>45.49248503519529</v>
      </c>
      <c r="AG91" s="105">
        <f t="shared" si="72"/>
        <v>61.528328062401734</v>
      </c>
      <c r="AH91" s="106">
        <f t="shared" si="73"/>
        <v>3533.555934101771</v>
      </c>
      <c r="AI91" s="95">
        <f t="shared" si="61"/>
        <v>1466.444065898229</v>
      </c>
      <c r="AK91" s="4">
        <f t="shared" si="62"/>
        <v>0</v>
      </c>
      <c r="AL91" s="4">
        <f t="shared" si="63"/>
        <v>0</v>
      </c>
      <c r="AM91" s="4">
        <f t="shared" si="64"/>
        <v>1</v>
      </c>
      <c r="AN91" s="4">
        <f t="shared" si="74"/>
        <v>0</v>
      </c>
      <c r="AO91" s="4">
        <f t="shared" si="75"/>
        <v>0</v>
      </c>
    </row>
    <row r="92" spans="2:41" ht="12.75">
      <c r="B92" s="10"/>
      <c r="C92" s="10"/>
      <c r="D92" s="10"/>
      <c r="E92" s="10"/>
      <c r="F92" s="10"/>
      <c r="G92" s="10"/>
      <c r="H92" s="107">
        <f t="shared" si="76"/>
        <v>82</v>
      </c>
      <c r="I92" s="98">
        <f ca="1" t="shared" si="65"/>
        <v>0.05478005384226631</v>
      </c>
      <c r="J92" s="99"/>
      <c r="K92" s="97">
        <f t="shared" si="47"/>
        <v>312.86143381068285</v>
      </c>
      <c r="L92" s="70">
        <f t="shared" si="48"/>
        <v>2154305.511506197</v>
      </c>
      <c r="M92" s="70">
        <f t="shared" si="49"/>
        <v>2154305.511506197</v>
      </c>
      <c r="N92" s="100">
        <f t="shared" si="66"/>
        <v>673.9991111960853</v>
      </c>
      <c r="O92" s="28"/>
      <c r="P92" s="97">
        <f t="shared" si="50"/>
        <v>312.86143381068285</v>
      </c>
      <c r="Q92" s="70">
        <f t="shared" si="51"/>
        <v>2154305.511506197</v>
      </c>
      <c r="R92" s="70">
        <f t="shared" si="52"/>
        <v>2154305.511506197</v>
      </c>
      <c r="S92" s="70">
        <f t="shared" si="67"/>
        <v>673.9991111960853</v>
      </c>
      <c r="T92" s="101">
        <f t="shared" si="53"/>
        <v>0</v>
      </c>
      <c r="U92" s="102">
        <f t="shared" si="54"/>
        <v>0</v>
      </c>
      <c r="V92" s="103"/>
      <c r="W92" s="97">
        <f t="shared" si="55"/>
        <v>312.86143381068285</v>
      </c>
      <c r="X92" s="70">
        <f t="shared" si="56"/>
        <v>2154305.511506197</v>
      </c>
      <c r="Y92" s="70">
        <f t="shared" si="57"/>
        <v>2154305.511506197</v>
      </c>
      <c r="Z92" s="70">
        <f t="shared" si="68"/>
        <v>673.9991111960853</v>
      </c>
      <c r="AA92" s="68">
        <f t="shared" si="69"/>
        <v>0</v>
      </c>
      <c r="AB92" s="101">
        <f t="shared" si="70"/>
        <v>1603584.3027206445</v>
      </c>
      <c r="AC92" s="104">
        <f t="shared" si="71"/>
        <v>0</v>
      </c>
      <c r="AD92" s="104">
        <f t="shared" si="58"/>
        <v>0</v>
      </c>
      <c r="AE92" s="105">
        <f t="shared" si="59"/>
        <v>16.035843027206447</v>
      </c>
      <c r="AF92" s="105">
        <f t="shared" si="60"/>
        <v>37.62747631391137</v>
      </c>
      <c r="AG92" s="105">
        <f t="shared" si="72"/>
        <v>53.66331934111782</v>
      </c>
      <c r="AH92" s="106">
        <f t="shared" si="73"/>
        <v>3587.219253442889</v>
      </c>
      <c r="AI92" s="95">
        <f t="shared" si="61"/>
        <v>1412.780746557111</v>
      </c>
      <c r="AK92" s="4">
        <f t="shared" si="62"/>
        <v>0</v>
      </c>
      <c r="AL92" s="4">
        <f t="shared" si="63"/>
        <v>0</v>
      </c>
      <c r="AM92" s="4">
        <f t="shared" si="64"/>
        <v>1</v>
      </c>
      <c r="AN92" s="4">
        <f t="shared" si="74"/>
        <v>0</v>
      </c>
      <c r="AO92" s="4">
        <f t="shared" si="75"/>
        <v>0</v>
      </c>
    </row>
    <row r="93" spans="2:41" ht="12.75">
      <c r="B93" s="10"/>
      <c r="C93" s="10"/>
      <c r="D93" s="10"/>
      <c r="E93" s="10"/>
      <c r="F93" s="10"/>
      <c r="G93" s="10"/>
      <c r="H93" s="107">
        <f t="shared" si="76"/>
        <v>83</v>
      </c>
      <c r="I93" s="98">
        <f ca="1" t="shared" si="65"/>
        <v>-0.08889694613997551</v>
      </c>
      <c r="J93" s="99"/>
      <c r="K93" s="97">
        <f t="shared" si="47"/>
        <v>362.19832498849223</v>
      </c>
      <c r="L93" s="70">
        <f t="shared" si="48"/>
        <v>2002212.1358597628</v>
      </c>
      <c r="M93" s="70">
        <f t="shared" si="49"/>
        <v>2002212.1358597628</v>
      </c>
      <c r="N93" s="100">
        <f t="shared" si="66"/>
        <v>725.1978818800376</v>
      </c>
      <c r="O93" s="28"/>
      <c r="P93" s="97">
        <f t="shared" si="50"/>
        <v>362.19832498849223</v>
      </c>
      <c r="Q93" s="70">
        <f t="shared" si="51"/>
        <v>2002212.1358597628</v>
      </c>
      <c r="R93" s="70">
        <f t="shared" si="52"/>
        <v>2002212.1358597628</v>
      </c>
      <c r="S93" s="70">
        <f t="shared" si="67"/>
        <v>725.1978818800376</v>
      </c>
      <c r="T93" s="101">
        <f t="shared" si="53"/>
        <v>0</v>
      </c>
      <c r="U93" s="102">
        <f t="shared" si="54"/>
        <v>0</v>
      </c>
      <c r="V93" s="103"/>
      <c r="W93" s="97">
        <f t="shared" si="55"/>
        <v>362.19832498849223</v>
      </c>
      <c r="X93" s="70">
        <f t="shared" si="56"/>
        <v>2002212.1358597628</v>
      </c>
      <c r="Y93" s="70">
        <f t="shared" si="57"/>
        <v>2002212.1358597628</v>
      </c>
      <c r="Z93" s="70">
        <f t="shared" si="68"/>
        <v>725.1978818800376</v>
      </c>
      <c r="AA93" s="68">
        <f t="shared" si="69"/>
        <v>0</v>
      </c>
      <c r="AB93" s="101">
        <f t="shared" si="70"/>
        <v>1603584.3027206445</v>
      </c>
      <c r="AC93" s="104">
        <f t="shared" si="71"/>
        <v>0</v>
      </c>
      <c r="AD93" s="104">
        <f t="shared" si="58"/>
        <v>0</v>
      </c>
      <c r="AE93" s="105">
        <f t="shared" si="59"/>
        <v>16.035843027206447</v>
      </c>
      <c r="AF93" s="105">
        <f t="shared" si="60"/>
        <v>43.56116613174426</v>
      </c>
      <c r="AG93" s="105">
        <f t="shared" si="72"/>
        <v>59.597009158950705</v>
      </c>
      <c r="AH93" s="106">
        <f t="shared" si="73"/>
        <v>3646.8162626018398</v>
      </c>
      <c r="AI93" s="95">
        <f t="shared" si="61"/>
        <v>1353.1837373981602</v>
      </c>
      <c r="AK93" s="4">
        <f t="shared" si="62"/>
        <v>0</v>
      </c>
      <c r="AL93" s="4">
        <f t="shared" si="63"/>
        <v>0</v>
      </c>
      <c r="AM93" s="4">
        <f t="shared" si="64"/>
        <v>1</v>
      </c>
      <c r="AN93" s="4">
        <f t="shared" si="74"/>
        <v>0</v>
      </c>
      <c r="AO93" s="4">
        <f t="shared" si="75"/>
        <v>0</v>
      </c>
    </row>
    <row r="94" spans="2:41" ht="12.75">
      <c r="B94" s="10"/>
      <c r="C94" s="10"/>
      <c r="D94" s="10"/>
      <c r="E94" s="10"/>
      <c r="F94" s="10"/>
      <c r="G94" s="10"/>
      <c r="H94" s="107">
        <f t="shared" si="76"/>
        <v>84</v>
      </c>
      <c r="I94" s="98">
        <f ca="1" t="shared" si="65"/>
        <v>0.3592749813594108</v>
      </c>
      <c r="J94" s="99"/>
      <c r="K94" s="97">
        <f t="shared" si="47"/>
        <v>242.77648343822815</v>
      </c>
      <c r="L94" s="70">
        <f t="shared" si="48"/>
        <v>2445569.4465668793</v>
      </c>
      <c r="M94" s="70">
        <f t="shared" si="49"/>
        <v>2445569.446566875</v>
      </c>
      <c r="N94" s="100">
        <f t="shared" si="66"/>
        <v>593.7267502414807</v>
      </c>
      <c r="O94" s="28"/>
      <c r="P94" s="97">
        <f t="shared" si="50"/>
        <v>242.77648343822815</v>
      </c>
      <c r="Q94" s="70">
        <f t="shared" si="51"/>
        <v>2445569.4465668793</v>
      </c>
      <c r="R94" s="70">
        <f t="shared" si="52"/>
        <v>2445569.446566875</v>
      </c>
      <c r="S94" s="70">
        <f t="shared" si="67"/>
        <v>593.7267502414807</v>
      </c>
      <c r="T94" s="101">
        <f t="shared" si="53"/>
        <v>-4.190951585769653E-09</v>
      </c>
      <c r="U94" s="102">
        <f t="shared" si="54"/>
        <v>0</v>
      </c>
      <c r="V94" s="103"/>
      <c r="W94" s="97">
        <f t="shared" si="55"/>
        <v>300</v>
      </c>
      <c r="X94" s="70">
        <f t="shared" si="56"/>
        <v>2718549.9627188225</v>
      </c>
      <c r="Y94" s="70">
        <f t="shared" si="57"/>
        <v>2200000.0000000047</v>
      </c>
      <c r="Z94" s="70">
        <f t="shared" si="68"/>
        <v>815.5649888156468</v>
      </c>
      <c r="AA94" s="68">
        <f t="shared" si="69"/>
        <v>518549.9627188179</v>
      </c>
      <c r="AB94" s="101">
        <f t="shared" si="70"/>
        <v>2122134.2654394624</v>
      </c>
      <c r="AC94" s="104">
        <f t="shared" si="71"/>
        <v>155.56498881564536</v>
      </c>
      <c r="AD94" s="104">
        <f t="shared" si="58"/>
        <v>12.963749067970447</v>
      </c>
      <c r="AE94" s="105">
        <f t="shared" si="59"/>
        <v>21.221342654394622</v>
      </c>
      <c r="AF94" s="105">
        <f t="shared" si="60"/>
        <v>47.748020972387906</v>
      </c>
      <c r="AG94" s="105">
        <f t="shared" si="72"/>
        <v>237.49810151039833</v>
      </c>
      <c r="AH94" s="106">
        <f t="shared" si="73"/>
        <v>3884.314364112238</v>
      </c>
      <c r="AI94" s="95">
        <f t="shared" si="61"/>
        <v>1115.6856358877621</v>
      </c>
      <c r="AK94" s="4">
        <f t="shared" si="62"/>
        <v>0</v>
      </c>
      <c r="AL94" s="4">
        <f t="shared" si="63"/>
        <v>0</v>
      </c>
      <c r="AM94" s="4">
        <f t="shared" si="64"/>
        <v>1</v>
      </c>
      <c r="AN94" s="4">
        <f t="shared" si="74"/>
        <v>0</v>
      </c>
      <c r="AO94" s="4">
        <f t="shared" si="75"/>
        <v>1</v>
      </c>
    </row>
    <row r="95" spans="2:41" ht="12.75">
      <c r="B95" s="10"/>
      <c r="C95" s="10"/>
      <c r="D95" s="10"/>
      <c r="E95" s="10"/>
      <c r="F95" s="10"/>
      <c r="G95" s="10"/>
      <c r="H95" s="107">
        <f t="shared" si="76"/>
        <v>85</v>
      </c>
      <c r="I95" s="98">
        <f ca="1" t="shared" si="65"/>
        <v>0.18423049298635674</v>
      </c>
      <c r="J95" s="99"/>
      <c r="K95" s="97">
        <f t="shared" si="47"/>
        <v>278.66196821854896</v>
      </c>
      <c r="L95" s="70">
        <f t="shared" si="48"/>
        <v>2282676.9743307945</v>
      </c>
      <c r="M95" s="70">
        <f t="shared" si="49"/>
        <v>2282676.9743307945</v>
      </c>
      <c r="N95" s="100">
        <f t="shared" si="66"/>
        <v>636.0952584741814</v>
      </c>
      <c r="O95" s="28"/>
      <c r="P95" s="97">
        <f t="shared" si="50"/>
        <v>278.66196821854896</v>
      </c>
      <c r="Q95" s="70">
        <f t="shared" si="51"/>
        <v>2282676.9743307945</v>
      </c>
      <c r="R95" s="70">
        <f t="shared" si="52"/>
        <v>2282676.9743307945</v>
      </c>
      <c r="S95" s="70">
        <f t="shared" si="67"/>
        <v>636.0952584741814</v>
      </c>
      <c r="T95" s="101">
        <f t="shared" si="53"/>
        <v>0</v>
      </c>
      <c r="U95" s="102">
        <f t="shared" si="54"/>
        <v>0</v>
      </c>
      <c r="V95" s="103"/>
      <c r="W95" s="97">
        <f t="shared" si="55"/>
        <v>300</v>
      </c>
      <c r="X95" s="70">
        <f t="shared" si="56"/>
        <v>2368460.985972713</v>
      </c>
      <c r="Y95" s="70">
        <f t="shared" si="57"/>
        <v>2200000.0000000047</v>
      </c>
      <c r="Z95" s="70">
        <f t="shared" si="68"/>
        <v>710.538295791814</v>
      </c>
      <c r="AA95" s="68">
        <f t="shared" si="69"/>
        <v>168460.98597270856</v>
      </c>
      <c r="AB95" s="101">
        <f t="shared" si="70"/>
        <v>2290595.251412171</v>
      </c>
      <c r="AC95" s="104">
        <f t="shared" si="71"/>
        <v>50.538295791812565</v>
      </c>
      <c r="AD95" s="104">
        <f t="shared" si="58"/>
        <v>4.211524649317713</v>
      </c>
      <c r="AE95" s="105">
        <f t="shared" si="59"/>
        <v>22.90595251412171</v>
      </c>
      <c r="AF95" s="105">
        <f t="shared" si="60"/>
        <v>51.53839315677385</v>
      </c>
      <c r="AG95" s="105">
        <f t="shared" si="72"/>
        <v>129.19416611202584</v>
      </c>
      <c r="AH95" s="106">
        <f t="shared" si="73"/>
        <v>4013.5085302242637</v>
      </c>
      <c r="AI95" s="95">
        <f t="shared" si="61"/>
        <v>986.4914697757363</v>
      </c>
      <c r="AK95" s="4">
        <f t="shared" si="62"/>
        <v>0</v>
      </c>
      <c r="AL95" s="4">
        <f t="shared" si="63"/>
        <v>0</v>
      </c>
      <c r="AM95" s="4">
        <f t="shared" si="64"/>
        <v>1</v>
      </c>
      <c r="AN95" s="4">
        <f t="shared" si="74"/>
        <v>0</v>
      </c>
      <c r="AO95" s="4">
        <f t="shared" si="75"/>
        <v>1</v>
      </c>
    </row>
    <row r="96" spans="2:41" ht="12.75">
      <c r="B96" s="10"/>
      <c r="C96" s="10"/>
      <c r="D96" s="10"/>
      <c r="E96" s="10"/>
      <c r="F96" s="10"/>
      <c r="G96" s="10"/>
      <c r="H96" s="107">
        <f t="shared" si="76"/>
        <v>86</v>
      </c>
      <c r="I96" s="98">
        <f ca="1" t="shared" si="65"/>
        <v>-0.14731833512820383</v>
      </c>
      <c r="J96" s="99"/>
      <c r="K96" s="97">
        <f t="shared" si="47"/>
        <v>387.0143027522674</v>
      </c>
      <c r="L96" s="70">
        <f t="shared" si="48"/>
        <v>1936956.201217751</v>
      </c>
      <c r="M96" s="70">
        <f t="shared" si="49"/>
        <v>1936956.2012177545</v>
      </c>
      <c r="N96" s="100">
        <f t="shared" si="66"/>
        <v>749.6297536759685</v>
      </c>
      <c r="O96" s="28"/>
      <c r="P96" s="97">
        <f t="shared" si="50"/>
        <v>387.0143027522674</v>
      </c>
      <c r="Q96" s="70">
        <f t="shared" si="51"/>
        <v>1936956.201217751</v>
      </c>
      <c r="R96" s="70">
        <f t="shared" si="52"/>
        <v>1936956.2012177545</v>
      </c>
      <c r="S96" s="70">
        <f t="shared" si="67"/>
        <v>749.6297536759685</v>
      </c>
      <c r="T96" s="101">
        <f t="shared" si="53"/>
        <v>3.4924596548080444E-09</v>
      </c>
      <c r="U96" s="102">
        <f t="shared" si="54"/>
        <v>0</v>
      </c>
      <c r="V96" s="103"/>
      <c r="W96" s="97">
        <f t="shared" si="55"/>
        <v>387.0143027522674</v>
      </c>
      <c r="X96" s="70">
        <f t="shared" si="56"/>
        <v>1936956.201217751</v>
      </c>
      <c r="Y96" s="70">
        <f t="shared" si="57"/>
        <v>1936956.2012177545</v>
      </c>
      <c r="Z96" s="70">
        <f t="shared" si="68"/>
        <v>749.6297536759685</v>
      </c>
      <c r="AA96" s="68">
        <f t="shared" si="69"/>
        <v>-3.4924596548080444E-09</v>
      </c>
      <c r="AB96" s="101">
        <f t="shared" si="70"/>
        <v>2290595.251412167</v>
      </c>
      <c r="AC96" s="104">
        <f t="shared" si="71"/>
        <v>-1.3516318381959598E-12</v>
      </c>
      <c r="AD96" s="104">
        <f t="shared" si="58"/>
        <v>8.731149137020111E-14</v>
      </c>
      <c r="AE96" s="105">
        <f t="shared" si="59"/>
        <v>22.905952514121672</v>
      </c>
      <c r="AF96" s="105">
        <f t="shared" si="60"/>
        <v>66.48698430847008</v>
      </c>
      <c r="AG96" s="105">
        <f t="shared" si="72"/>
        <v>89.39293682259049</v>
      </c>
      <c r="AH96" s="106">
        <f t="shared" si="73"/>
        <v>4102.901467046854</v>
      </c>
      <c r="AI96" s="95">
        <f t="shared" si="61"/>
        <v>897.0985329531459</v>
      </c>
      <c r="AK96" s="4">
        <f t="shared" si="62"/>
        <v>0</v>
      </c>
      <c r="AL96" s="4">
        <f t="shared" si="63"/>
        <v>0</v>
      </c>
      <c r="AM96" s="4">
        <f t="shared" si="64"/>
        <v>1</v>
      </c>
      <c r="AN96" s="4">
        <f t="shared" si="74"/>
        <v>1</v>
      </c>
      <c r="AO96" s="4">
        <f t="shared" si="75"/>
        <v>0</v>
      </c>
    </row>
    <row r="97" spans="2:41" ht="12.75">
      <c r="B97" s="10"/>
      <c r="C97" s="10"/>
      <c r="D97" s="10"/>
      <c r="E97" s="10"/>
      <c r="F97" s="10"/>
      <c r="G97" s="10"/>
      <c r="H97" s="107">
        <f t="shared" si="76"/>
        <v>87</v>
      </c>
      <c r="I97" s="98">
        <f ca="1" t="shared" si="65"/>
        <v>0.4002838452929604</v>
      </c>
      <c r="J97" s="99"/>
      <c r="K97" s="97">
        <f t="shared" si="47"/>
        <v>235.6665051227237</v>
      </c>
      <c r="L97" s="70">
        <f t="shared" si="48"/>
        <v>2482186.3184074294</v>
      </c>
      <c r="M97" s="70">
        <f t="shared" si="49"/>
        <v>2482186.3184074294</v>
      </c>
      <c r="N97" s="100">
        <f t="shared" si="66"/>
        <v>584.9681747225192</v>
      </c>
      <c r="O97" s="28"/>
      <c r="P97" s="97">
        <f t="shared" si="50"/>
        <v>235.6665051227237</v>
      </c>
      <c r="Q97" s="70">
        <f t="shared" si="51"/>
        <v>2482186.3184074294</v>
      </c>
      <c r="R97" s="70">
        <f t="shared" si="52"/>
        <v>2482186.3184074294</v>
      </c>
      <c r="S97" s="70">
        <f t="shared" si="67"/>
        <v>584.9681747225192</v>
      </c>
      <c r="T97" s="101">
        <f t="shared" si="53"/>
        <v>0</v>
      </c>
      <c r="U97" s="102">
        <f t="shared" si="54"/>
        <v>0</v>
      </c>
      <c r="V97" s="103"/>
      <c r="W97" s="97">
        <f t="shared" si="55"/>
        <v>300</v>
      </c>
      <c r="X97" s="70">
        <f t="shared" si="56"/>
        <v>2800567.6905859206</v>
      </c>
      <c r="Y97" s="70">
        <f t="shared" si="57"/>
        <v>2200000.0000000047</v>
      </c>
      <c r="Z97" s="70">
        <f t="shared" si="68"/>
        <v>840.1703071757761</v>
      </c>
      <c r="AA97" s="68">
        <f t="shared" si="69"/>
        <v>600567.6905859159</v>
      </c>
      <c r="AB97" s="101">
        <f t="shared" si="70"/>
        <v>2891162.941998083</v>
      </c>
      <c r="AC97" s="104">
        <f t="shared" si="71"/>
        <v>180.17030717577478</v>
      </c>
      <c r="AD97" s="104">
        <f t="shared" si="58"/>
        <v>15.014192264647898</v>
      </c>
      <c r="AE97" s="105">
        <f t="shared" si="59"/>
        <v>28.91162941998083</v>
      </c>
      <c r="AF97" s="105">
        <f t="shared" si="60"/>
        <v>65.05116619495688</v>
      </c>
      <c r="AG97" s="105">
        <f t="shared" si="72"/>
        <v>289.1472950553604</v>
      </c>
      <c r="AH97" s="106">
        <f t="shared" si="73"/>
        <v>4392.048762102215</v>
      </c>
      <c r="AI97" s="95">
        <f t="shared" si="61"/>
        <v>607.9512378977852</v>
      </c>
      <c r="AK97" s="4">
        <f t="shared" si="62"/>
        <v>0</v>
      </c>
      <c r="AL97" s="4">
        <f t="shared" si="63"/>
        <v>0</v>
      </c>
      <c r="AM97" s="4">
        <f t="shared" si="64"/>
        <v>1</v>
      </c>
      <c r="AN97" s="4">
        <f t="shared" si="74"/>
        <v>0</v>
      </c>
      <c r="AO97" s="4">
        <f t="shared" si="75"/>
        <v>1</v>
      </c>
    </row>
    <row r="98" spans="2:41" ht="12.75">
      <c r="B98" s="10"/>
      <c r="C98" s="10"/>
      <c r="D98" s="10"/>
      <c r="E98" s="10"/>
      <c r="F98" s="10"/>
      <c r="G98" s="10"/>
      <c r="H98" s="107">
        <f t="shared" si="76"/>
        <v>88</v>
      </c>
      <c r="I98" s="98">
        <f ca="1" t="shared" si="65"/>
        <v>-0.21167660501763375</v>
      </c>
      <c r="J98" s="99"/>
      <c r="K98" s="97">
        <f t="shared" si="47"/>
        <v>418.60992848928754</v>
      </c>
      <c r="L98" s="70">
        <f t="shared" si="48"/>
        <v>1862423.941513427</v>
      </c>
      <c r="M98" s="70">
        <f t="shared" si="49"/>
        <v>1862423.9415134303</v>
      </c>
      <c r="N98" s="100">
        <f t="shared" si="66"/>
        <v>779.6291529736727</v>
      </c>
      <c r="O98" s="28"/>
      <c r="P98" s="97">
        <f t="shared" si="50"/>
        <v>400</v>
      </c>
      <c r="Q98" s="70">
        <f t="shared" si="51"/>
        <v>1820554.8972061926</v>
      </c>
      <c r="R98" s="70">
        <f t="shared" si="52"/>
        <v>1905255.8883257702</v>
      </c>
      <c r="S98" s="70">
        <f t="shared" si="67"/>
        <v>728.221958882477</v>
      </c>
      <c r="T98" s="101">
        <f t="shared" si="53"/>
        <v>84700.99111957755</v>
      </c>
      <c r="U98" s="102">
        <f t="shared" si="54"/>
        <v>0</v>
      </c>
      <c r="V98" s="103"/>
      <c r="W98" s="97">
        <f t="shared" si="55"/>
        <v>400</v>
      </c>
      <c r="X98" s="70">
        <f t="shared" si="56"/>
        <v>1820554.8972061926</v>
      </c>
      <c r="Y98" s="70">
        <f t="shared" si="57"/>
        <v>1905255.8883257702</v>
      </c>
      <c r="Z98" s="70">
        <f t="shared" si="68"/>
        <v>728.221958882477</v>
      </c>
      <c r="AA98" s="68">
        <f t="shared" si="69"/>
        <v>-84700.99111957755</v>
      </c>
      <c r="AB98" s="101">
        <f t="shared" si="70"/>
        <v>2806461.9508785056</v>
      </c>
      <c r="AC98" s="104">
        <f t="shared" si="71"/>
        <v>-33.88039644783102</v>
      </c>
      <c r="AD98" s="104">
        <f t="shared" si="58"/>
        <v>2.1175247779894386</v>
      </c>
      <c r="AE98" s="105">
        <f t="shared" si="59"/>
        <v>28.064619508785054</v>
      </c>
      <c r="AF98" s="105">
        <f t="shared" si="60"/>
        <v>84.19385852635517</v>
      </c>
      <c r="AG98" s="105">
        <f t="shared" si="72"/>
        <v>80.49560636529864</v>
      </c>
      <c r="AH98" s="106">
        <f t="shared" si="73"/>
        <v>4472.544368467514</v>
      </c>
      <c r="AI98" s="95">
        <f t="shared" si="61"/>
        <v>527.4556315324862</v>
      </c>
      <c r="AK98" s="4">
        <f t="shared" si="62"/>
        <v>0</v>
      </c>
      <c r="AL98" s="4">
        <f t="shared" si="63"/>
        <v>0</v>
      </c>
      <c r="AM98" s="4">
        <f t="shared" si="64"/>
        <v>1</v>
      </c>
      <c r="AN98" s="4">
        <f t="shared" si="74"/>
        <v>1</v>
      </c>
      <c r="AO98" s="4">
        <f t="shared" si="75"/>
        <v>0</v>
      </c>
    </row>
    <row r="99" spans="2:41" ht="12.75">
      <c r="B99" s="10"/>
      <c r="C99" s="10"/>
      <c r="D99" s="10"/>
      <c r="E99" s="10"/>
      <c r="F99" s="10"/>
      <c r="G99" s="10"/>
      <c r="H99" s="107">
        <f t="shared" si="76"/>
        <v>89</v>
      </c>
      <c r="I99" s="98">
        <f ca="1" t="shared" si="65"/>
        <v>0.18902989179475738</v>
      </c>
      <c r="J99" s="99"/>
      <c r="K99" s="97">
        <f t="shared" si="47"/>
        <v>277.5371773891143</v>
      </c>
      <c r="L99" s="70">
        <f t="shared" si="48"/>
        <v>2287297.865145014</v>
      </c>
      <c r="M99" s="70">
        <f t="shared" si="49"/>
        <v>2287297.865145014</v>
      </c>
      <c r="N99" s="100">
        <f t="shared" si="66"/>
        <v>634.8101933404942</v>
      </c>
      <c r="O99" s="28"/>
      <c r="P99" s="97">
        <f t="shared" si="50"/>
        <v>277.5371773891143</v>
      </c>
      <c r="Q99" s="70">
        <f t="shared" si="51"/>
        <v>2287297.865145014</v>
      </c>
      <c r="R99" s="70">
        <f t="shared" si="52"/>
        <v>2287297.865145014</v>
      </c>
      <c r="S99" s="70">
        <f t="shared" si="67"/>
        <v>634.8101933404942</v>
      </c>
      <c r="T99" s="101">
        <f t="shared" si="53"/>
        <v>0</v>
      </c>
      <c r="U99" s="102">
        <f t="shared" si="54"/>
        <v>0</v>
      </c>
      <c r="V99" s="103"/>
      <c r="W99" s="97">
        <f t="shared" si="55"/>
        <v>300</v>
      </c>
      <c r="X99" s="70">
        <f t="shared" si="56"/>
        <v>2378059.783589513</v>
      </c>
      <c r="Y99" s="70">
        <f t="shared" si="57"/>
        <v>2200000.0000000047</v>
      </c>
      <c r="Z99" s="70">
        <f t="shared" si="68"/>
        <v>713.4179350768538</v>
      </c>
      <c r="AA99" s="68">
        <f t="shared" si="69"/>
        <v>178059.78358950838</v>
      </c>
      <c r="AB99" s="101">
        <f t="shared" si="70"/>
        <v>2984521.734468014</v>
      </c>
      <c r="AC99" s="104">
        <f t="shared" si="71"/>
        <v>53.417935076852515</v>
      </c>
      <c r="AD99" s="104">
        <f t="shared" si="58"/>
        <v>4.45149458973771</v>
      </c>
      <c r="AE99" s="105">
        <f t="shared" si="59"/>
        <v>29.845217344680137</v>
      </c>
      <c r="AF99" s="105">
        <f t="shared" si="60"/>
        <v>67.1517390255303</v>
      </c>
      <c r="AG99" s="105">
        <f t="shared" si="72"/>
        <v>154.86638603680066</v>
      </c>
      <c r="AH99" s="106">
        <f t="shared" si="73"/>
        <v>4627.410754504314</v>
      </c>
      <c r="AI99" s="95">
        <f t="shared" si="61"/>
        <v>372.58924549568565</v>
      </c>
      <c r="AK99" s="4">
        <f t="shared" si="62"/>
        <v>0</v>
      </c>
      <c r="AL99" s="4">
        <f t="shared" si="63"/>
        <v>0</v>
      </c>
      <c r="AM99" s="4">
        <f t="shared" si="64"/>
        <v>1</v>
      </c>
      <c r="AN99" s="4">
        <f t="shared" si="74"/>
        <v>0</v>
      </c>
      <c r="AO99" s="4">
        <f t="shared" si="75"/>
        <v>1</v>
      </c>
    </row>
    <row r="100" spans="2:41" ht="12.75">
      <c r="B100" s="10"/>
      <c r="C100" s="10"/>
      <c r="D100" s="10"/>
      <c r="E100" s="10"/>
      <c r="F100" s="10"/>
      <c r="G100" s="10"/>
      <c r="H100" s="107">
        <f t="shared" si="76"/>
        <v>90</v>
      </c>
      <c r="I100" s="98">
        <f ca="1" t="shared" si="65"/>
        <v>0.09704800102651406</v>
      </c>
      <c r="J100" s="99"/>
      <c r="K100" s="97">
        <f t="shared" si="47"/>
        <v>300.80725701265385</v>
      </c>
      <c r="L100" s="70">
        <f t="shared" si="48"/>
        <v>2197046.017842292</v>
      </c>
      <c r="M100" s="70">
        <f t="shared" si="49"/>
        <v>2197046.017842292</v>
      </c>
      <c r="N100" s="100">
        <f t="shared" si="66"/>
        <v>660.887386157714</v>
      </c>
      <c r="O100" s="28"/>
      <c r="P100" s="97">
        <f t="shared" si="50"/>
        <v>300.80725701265385</v>
      </c>
      <c r="Q100" s="70">
        <f t="shared" si="51"/>
        <v>2197046.017842292</v>
      </c>
      <c r="R100" s="70">
        <f t="shared" si="52"/>
        <v>2197046.017842292</v>
      </c>
      <c r="S100" s="70">
        <f t="shared" si="67"/>
        <v>660.887386157714</v>
      </c>
      <c r="T100" s="101">
        <f t="shared" si="53"/>
        <v>0</v>
      </c>
      <c r="U100" s="102">
        <f t="shared" si="54"/>
        <v>0</v>
      </c>
      <c r="V100" s="103"/>
      <c r="W100" s="97">
        <f t="shared" si="55"/>
        <v>300.80725701265385</v>
      </c>
      <c r="X100" s="70">
        <f t="shared" si="56"/>
        <v>2197046.017842292</v>
      </c>
      <c r="Y100" s="70">
        <f t="shared" si="57"/>
        <v>2197046.017842292</v>
      </c>
      <c r="Z100" s="70">
        <f t="shared" si="68"/>
        <v>660.887386157714</v>
      </c>
      <c r="AA100" s="68">
        <f t="shared" si="69"/>
        <v>0</v>
      </c>
      <c r="AB100" s="101">
        <f t="shared" si="70"/>
        <v>2984521.734468014</v>
      </c>
      <c r="AC100" s="104">
        <f t="shared" si="71"/>
        <v>0</v>
      </c>
      <c r="AD100" s="104">
        <f t="shared" si="58"/>
        <v>0</v>
      </c>
      <c r="AE100" s="105">
        <f t="shared" si="59"/>
        <v>29.845217344680137</v>
      </c>
      <c r="AF100" s="105">
        <f t="shared" si="60"/>
        <v>67.33243473299785</v>
      </c>
      <c r="AG100" s="105">
        <f t="shared" si="72"/>
        <v>97.17765207767799</v>
      </c>
      <c r="AH100" s="106">
        <f t="shared" si="73"/>
        <v>4724.588406581993</v>
      </c>
      <c r="AI100" s="95">
        <f t="shared" si="61"/>
        <v>275.4115934180072</v>
      </c>
      <c r="AK100" s="4">
        <f t="shared" si="62"/>
        <v>0</v>
      </c>
      <c r="AL100" s="4">
        <f t="shared" si="63"/>
        <v>0</v>
      </c>
      <c r="AM100" s="4">
        <f t="shared" si="64"/>
        <v>1</v>
      </c>
      <c r="AN100" s="4">
        <f t="shared" si="74"/>
        <v>0</v>
      </c>
      <c r="AO100" s="4">
        <f t="shared" si="75"/>
        <v>0</v>
      </c>
    </row>
    <row r="101" spans="2:41" ht="12.75">
      <c r="B101" s="10"/>
      <c r="C101" s="10"/>
      <c r="D101" s="10"/>
      <c r="E101" s="10"/>
      <c r="F101" s="10"/>
      <c r="G101" s="10"/>
      <c r="H101" s="107">
        <f t="shared" si="76"/>
        <v>91</v>
      </c>
      <c r="I101" s="98">
        <f ca="1" t="shared" si="65"/>
        <v>-0.08696423642925949</v>
      </c>
      <c r="J101" s="99"/>
      <c r="K101" s="97">
        <f t="shared" si="47"/>
        <v>361.43162531708754</v>
      </c>
      <c r="L101" s="70">
        <f t="shared" si="48"/>
        <v>2004334.6426460983</v>
      </c>
      <c r="M101" s="70">
        <f t="shared" si="49"/>
        <v>2004334.6426460983</v>
      </c>
      <c r="N101" s="100">
        <f t="shared" si="66"/>
        <v>724.429927570923</v>
      </c>
      <c r="O101" s="28"/>
      <c r="P101" s="97">
        <f t="shared" si="50"/>
        <v>361.43162531708754</v>
      </c>
      <c r="Q101" s="70">
        <f t="shared" si="51"/>
        <v>2004334.6426460983</v>
      </c>
      <c r="R101" s="70">
        <f t="shared" si="52"/>
        <v>2004334.6426460983</v>
      </c>
      <c r="S101" s="70">
        <f t="shared" si="67"/>
        <v>724.429927570923</v>
      </c>
      <c r="T101" s="101">
        <f t="shared" si="53"/>
        <v>0</v>
      </c>
      <c r="U101" s="102">
        <f t="shared" si="54"/>
        <v>0</v>
      </c>
      <c r="V101" s="103"/>
      <c r="W101" s="97">
        <f t="shared" si="55"/>
        <v>361.43162531708754</v>
      </c>
      <c r="X101" s="70">
        <f t="shared" si="56"/>
        <v>2004334.6426460983</v>
      </c>
      <c r="Y101" s="70">
        <f t="shared" si="57"/>
        <v>2004334.6426460983</v>
      </c>
      <c r="Z101" s="70">
        <f t="shared" si="68"/>
        <v>724.429927570923</v>
      </c>
      <c r="AA101" s="68">
        <f t="shared" si="69"/>
        <v>0</v>
      </c>
      <c r="AB101" s="101">
        <f t="shared" si="70"/>
        <v>2984521.734468014</v>
      </c>
      <c r="AC101" s="104">
        <f t="shared" si="71"/>
        <v>0</v>
      </c>
      <c r="AD101" s="104">
        <f t="shared" si="58"/>
        <v>0</v>
      </c>
      <c r="AE101" s="105">
        <f t="shared" si="59"/>
        <v>29.845217344680137</v>
      </c>
      <c r="AF101" s="105">
        <f t="shared" si="60"/>
        <v>80.90254059622107</v>
      </c>
      <c r="AG101" s="105">
        <f t="shared" si="72"/>
        <v>110.74775794090121</v>
      </c>
      <c r="AH101" s="106">
        <f t="shared" si="73"/>
        <v>4835.336164522894</v>
      </c>
      <c r="AI101" s="95">
        <f t="shared" si="61"/>
        <v>164.66383547710575</v>
      </c>
      <c r="AK101" s="4">
        <f t="shared" si="62"/>
        <v>0</v>
      </c>
      <c r="AL101" s="4">
        <f t="shared" si="63"/>
        <v>0</v>
      </c>
      <c r="AM101" s="4">
        <f t="shared" si="64"/>
        <v>1</v>
      </c>
      <c r="AN101" s="4">
        <f t="shared" si="74"/>
        <v>0</v>
      </c>
      <c r="AO101" s="4">
        <f t="shared" si="75"/>
        <v>0</v>
      </c>
    </row>
    <row r="102" spans="2:41" ht="12.75">
      <c r="B102" s="10"/>
      <c r="C102" s="10"/>
      <c r="D102" s="10"/>
      <c r="E102" s="10"/>
      <c r="F102" s="10"/>
      <c r="G102" s="10"/>
      <c r="H102" s="107">
        <f t="shared" si="76"/>
        <v>92</v>
      </c>
      <c r="I102" s="98">
        <f ca="1" t="shared" si="65"/>
        <v>0.3297316570001003</v>
      </c>
      <c r="J102" s="99"/>
      <c r="K102" s="97">
        <f t="shared" si="47"/>
        <v>248.17037201662697</v>
      </c>
      <c r="L102" s="70">
        <f t="shared" si="48"/>
        <v>2418846.68608832</v>
      </c>
      <c r="M102" s="70">
        <f t="shared" si="49"/>
        <v>2418846.68608832</v>
      </c>
      <c r="N102" s="100">
        <f t="shared" si="66"/>
        <v>600.2860819377237</v>
      </c>
      <c r="O102" s="28"/>
      <c r="P102" s="97">
        <f t="shared" si="50"/>
        <v>248.17037201662697</v>
      </c>
      <c r="Q102" s="70">
        <f t="shared" si="51"/>
        <v>2418846.68608832</v>
      </c>
      <c r="R102" s="70">
        <f t="shared" si="52"/>
        <v>2418846.68608832</v>
      </c>
      <c r="S102" s="70">
        <f t="shared" si="67"/>
        <v>600.2860819377237</v>
      </c>
      <c r="T102" s="101">
        <f t="shared" si="53"/>
        <v>0</v>
      </c>
      <c r="U102" s="102">
        <f t="shared" si="54"/>
        <v>0</v>
      </c>
      <c r="V102" s="103"/>
      <c r="W102" s="97">
        <f t="shared" si="55"/>
        <v>300</v>
      </c>
      <c r="X102" s="70">
        <f t="shared" si="56"/>
        <v>2659463.3140001977</v>
      </c>
      <c r="Y102" s="70">
        <f t="shared" si="57"/>
        <v>2200000.0000000047</v>
      </c>
      <c r="Z102" s="70">
        <f t="shared" si="68"/>
        <v>797.8389942000593</v>
      </c>
      <c r="AA102" s="68">
        <f t="shared" si="69"/>
        <v>459463.31400019303</v>
      </c>
      <c r="AB102" s="101">
        <f t="shared" si="70"/>
        <v>3443985.048468207</v>
      </c>
      <c r="AC102" s="104">
        <f t="shared" si="71"/>
        <v>137.83899420005793</v>
      </c>
      <c r="AD102" s="104">
        <f t="shared" si="58"/>
        <v>11.486582850004826</v>
      </c>
      <c r="AE102" s="105">
        <f t="shared" si="59"/>
        <v>34.43985048468207</v>
      </c>
      <c r="AF102" s="105">
        <f t="shared" si="60"/>
        <v>77.48966359053466</v>
      </c>
      <c r="AG102" s="105">
        <f t="shared" si="72"/>
        <v>261.2550911252795</v>
      </c>
      <c r="AH102" s="106">
        <f t="shared" si="73"/>
        <v>5096.5912556481735</v>
      </c>
      <c r="AI102" s="95">
        <f t="shared" si="61"/>
        <v>-96.5912556481735</v>
      </c>
      <c r="AK102" s="4">
        <f t="shared" si="62"/>
        <v>0</v>
      </c>
      <c r="AL102" s="4">
        <f t="shared" si="63"/>
        <v>1</v>
      </c>
      <c r="AM102" s="4">
        <f t="shared" si="64"/>
        <v>1</v>
      </c>
      <c r="AN102" s="4">
        <f t="shared" si="74"/>
        <v>0</v>
      </c>
      <c r="AO102" s="4">
        <f t="shared" si="75"/>
        <v>1</v>
      </c>
    </row>
    <row r="103" spans="2:41" ht="12.75">
      <c r="B103" s="10"/>
      <c r="C103" s="10"/>
      <c r="D103" s="10"/>
      <c r="E103" s="10"/>
      <c r="F103" s="10"/>
      <c r="G103" s="10"/>
      <c r="H103" s="107">
        <f t="shared" si="76"/>
        <v>93</v>
      </c>
      <c r="I103" s="98">
        <f ca="1" t="shared" si="65"/>
        <v>-0.23080269172047962</v>
      </c>
      <c r="J103" s="99"/>
      <c r="K103" s="97">
        <f t="shared" si="47"/>
        <v>429.01866198429445</v>
      </c>
      <c r="L103" s="70">
        <f t="shared" si="48"/>
        <v>1839692.4081024763</v>
      </c>
      <c r="M103" s="70">
        <f t="shared" si="49"/>
        <v>1839692.4081024795</v>
      </c>
      <c r="N103" s="100">
        <f t="shared" si="66"/>
        <v>789.262375386789</v>
      </c>
      <c r="O103" s="28"/>
      <c r="P103" s="97">
        <f t="shared" si="50"/>
        <v>400</v>
      </c>
      <c r="Q103" s="70">
        <f t="shared" si="51"/>
        <v>1776385.091980464</v>
      </c>
      <c r="R103" s="70">
        <f t="shared" si="52"/>
        <v>1905255.8883257702</v>
      </c>
      <c r="S103" s="70">
        <f t="shared" si="67"/>
        <v>710.5540367921857</v>
      </c>
      <c r="T103" s="101">
        <f t="shared" si="53"/>
        <v>128870.7963453061</v>
      </c>
      <c r="U103" s="102">
        <f t="shared" si="54"/>
        <v>0</v>
      </c>
      <c r="V103" s="103"/>
      <c r="W103" s="97">
        <f t="shared" si="55"/>
        <v>400</v>
      </c>
      <c r="X103" s="70">
        <f t="shared" si="56"/>
        <v>1776385.091980464</v>
      </c>
      <c r="Y103" s="70">
        <f t="shared" si="57"/>
        <v>1905255.8883257702</v>
      </c>
      <c r="Z103" s="70">
        <f t="shared" si="68"/>
        <v>710.5540367921857</v>
      </c>
      <c r="AA103" s="68">
        <f t="shared" si="69"/>
        <v>-128870.7963453061</v>
      </c>
      <c r="AB103" s="101">
        <f t="shared" si="70"/>
        <v>3315114.252122901</v>
      </c>
      <c r="AC103" s="104">
        <f t="shared" si="71"/>
        <v>-51.54831853812244</v>
      </c>
      <c r="AD103" s="104">
        <f t="shared" si="58"/>
        <v>3.2217699086326523</v>
      </c>
      <c r="AE103" s="105">
        <f t="shared" si="59"/>
        <v>33.15114252122901</v>
      </c>
      <c r="AF103" s="105">
        <f t="shared" si="60"/>
        <v>99.45342756368704</v>
      </c>
      <c r="AG103" s="105">
        <f t="shared" si="72"/>
        <v>84.27802145542627</v>
      </c>
      <c r="AH103" s="106">
        <f t="shared" si="73"/>
        <v>5180.869277103599</v>
      </c>
      <c r="AI103" s="95">
        <f t="shared" si="61"/>
        <v>-180.86927710359942</v>
      </c>
      <c r="AK103" s="4">
        <f t="shared" si="62"/>
        <v>0</v>
      </c>
      <c r="AL103" s="4">
        <f t="shared" si="63"/>
        <v>1</v>
      </c>
      <c r="AM103" s="4">
        <f t="shared" si="64"/>
        <v>1</v>
      </c>
      <c r="AN103" s="4">
        <f t="shared" si="74"/>
        <v>1</v>
      </c>
      <c r="AO103" s="4">
        <f t="shared" si="75"/>
        <v>0</v>
      </c>
    </row>
    <row r="104" spans="2:41" ht="12.75">
      <c r="B104" s="10"/>
      <c r="C104" s="10"/>
      <c r="D104" s="10"/>
      <c r="E104" s="10"/>
      <c r="F104" s="10"/>
      <c r="G104" s="10"/>
      <c r="H104" s="107">
        <f t="shared" si="76"/>
        <v>94</v>
      </c>
      <c r="I104" s="98">
        <f ca="1" t="shared" si="65"/>
        <v>-0.4101187771940021</v>
      </c>
      <c r="J104" s="99"/>
      <c r="K104" s="97">
        <f t="shared" si="47"/>
        <v>559.4346577608088</v>
      </c>
      <c r="L104" s="70">
        <f t="shared" si="48"/>
        <v>1611048.5344477978</v>
      </c>
      <c r="M104" s="70">
        <f t="shared" si="49"/>
        <v>1611048.5344477978</v>
      </c>
      <c r="N104" s="100">
        <f t="shared" si="66"/>
        <v>901.2763855048563</v>
      </c>
      <c r="O104" s="28"/>
      <c r="P104" s="97">
        <f t="shared" si="50"/>
        <v>400</v>
      </c>
      <c r="Q104" s="70">
        <f t="shared" si="51"/>
        <v>1362272.3311077938</v>
      </c>
      <c r="R104" s="70">
        <f t="shared" si="52"/>
        <v>1905255.8883257702</v>
      </c>
      <c r="S104" s="70">
        <f t="shared" si="67"/>
        <v>544.9089324431175</v>
      </c>
      <c r="T104" s="101">
        <f t="shared" si="53"/>
        <v>542983.5572179763</v>
      </c>
      <c r="U104" s="102">
        <f t="shared" si="54"/>
        <v>0</v>
      </c>
      <c r="V104" s="103"/>
      <c r="W104" s="97">
        <f t="shared" si="55"/>
        <v>400</v>
      </c>
      <c r="X104" s="70">
        <f t="shared" si="56"/>
        <v>1362272.3311077938</v>
      </c>
      <c r="Y104" s="70">
        <f t="shared" si="57"/>
        <v>1905255.8883257702</v>
      </c>
      <c r="Z104" s="70">
        <f t="shared" si="68"/>
        <v>544.9089324431175</v>
      </c>
      <c r="AA104" s="68">
        <f t="shared" si="69"/>
        <v>-542983.5572179763</v>
      </c>
      <c r="AB104" s="101">
        <f t="shared" si="70"/>
        <v>2772130.6949049244</v>
      </c>
      <c r="AC104" s="104">
        <f t="shared" si="71"/>
        <v>-217.1934228871905</v>
      </c>
      <c r="AD104" s="104">
        <f t="shared" si="58"/>
        <v>13.574588930449407</v>
      </c>
      <c r="AE104" s="105">
        <f t="shared" si="59"/>
        <v>27.721306949049243</v>
      </c>
      <c r="AF104" s="105">
        <f t="shared" si="60"/>
        <v>83.16392084714775</v>
      </c>
      <c r="AG104" s="105">
        <f t="shared" si="72"/>
        <v>-92.7336061605441</v>
      </c>
      <c r="AH104" s="106">
        <f t="shared" si="73"/>
        <v>5088.135670943056</v>
      </c>
      <c r="AI104" s="95">
        <f t="shared" si="61"/>
        <v>-88.13567094305563</v>
      </c>
      <c r="AK104" s="4">
        <f t="shared" si="62"/>
        <v>0</v>
      </c>
      <c r="AL104" s="4">
        <f t="shared" si="63"/>
        <v>1</v>
      </c>
      <c r="AM104" s="4">
        <f t="shared" si="64"/>
        <v>1</v>
      </c>
      <c r="AN104" s="4">
        <f t="shared" si="74"/>
        <v>1</v>
      </c>
      <c r="AO104" s="4">
        <f t="shared" si="75"/>
        <v>0</v>
      </c>
    </row>
    <row r="105" spans="2:41" ht="12.75">
      <c r="B105" s="10"/>
      <c r="C105" s="10"/>
      <c r="D105" s="10"/>
      <c r="E105" s="10"/>
      <c r="F105" s="10"/>
      <c r="G105" s="10"/>
      <c r="H105" s="107">
        <f t="shared" si="76"/>
        <v>95</v>
      </c>
      <c r="I105" s="98">
        <f ca="1" t="shared" si="65"/>
        <v>-0.17172387685178525</v>
      </c>
      <c r="J105" s="99"/>
      <c r="K105" s="97">
        <f t="shared" si="47"/>
        <v>398.41785942795957</v>
      </c>
      <c r="L105" s="70">
        <f t="shared" si="48"/>
        <v>1909035.0813571087</v>
      </c>
      <c r="M105" s="70">
        <f t="shared" si="49"/>
        <v>1909035.081357112</v>
      </c>
      <c r="N105" s="100">
        <f t="shared" si="66"/>
        <v>760.59367068718</v>
      </c>
      <c r="O105" s="28"/>
      <c r="P105" s="97">
        <f t="shared" si="50"/>
        <v>398.41785942795957</v>
      </c>
      <c r="Q105" s="70">
        <f t="shared" si="51"/>
        <v>1909035.0813571087</v>
      </c>
      <c r="R105" s="70">
        <f t="shared" si="52"/>
        <v>1909035.081357112</v>
      </c>
      <c r="S105" s="70">
        <f t="shared" si="67"/>
        <v>760.59367068718</v>
      </c>
      <c r="T105" s="101">
        <f t="shared" si="53"/>
        <v>3.259629011154175E-09</v>
      </c>
      <c r="U105" s="102">
        <f t="shared" si="54"/>
        <v>0</v>
      </c>
      <c r="V105" s="103"/>
      <c r="W105" s="97">
        <f t="shared" si="55"/>
        <v>398.41785942795957</v>
      </c>
      <c r="X105" s="70">
        <f t="shared" si="56"/>
        <v>1909035.0813571087</v>
      </c>
      <c r="Y105" s="70">
        <f t="shared" si="57"/>
        <v>1909035.081357112</v>
      </c>
      <c r="Z105" s="70">
        <f t="shared" si="68"/>
        <v>760.59367068718</v>
      </c>
      <c r="AA105" s="68">
        <f t="shared" si="69"/>
        <v>-3.259629011154175E-09</v>
      </c>
      <c r="AB105" s="101">
        <f t="shared" si="70"/>
        <v>2772130.694904921</v>
      </c>
      <c r="AC105" s="104">
        <f t="shared" si="71"/>
        <v>-1.2986944131533228E-12</v>
      </c>
      <c r="AD105" s="104">
        <f t="shared" si="58"/>
        <v>8.149072527885437E-14</v>
      </c>
      <c r="AE105" s="105">
        <f t="shared" si="59"/>
        <v>27.72130694904921</v>
      </c>
      <c r="AF105" s="105">
        <f t="shared" si="60"/>
        <v>82.83497831389205</v>
      </c>
      <c r="AG105" s="105">
        <f t="shared" si="72"/>
        <v>110.55628526294004</v>
      </c>
      <c r="AH105" s="106">
        <f t="shared" si="73"/>
        <v>5198.691956205996</v>
      </c>
      <c r="AI105" s="95">
        <f t="shared" si="61"/>
        <v>-198.69195620599567</v>
      </c>
      <c r="AK105" s="4">
        <f t="shared" si="62"/>
        <v>0</v>
      </c>
      <c r="AL105" s="4">
        <f t="shared" si="63"/>
        <v>1</v>
      </c>
      <c r="AM105" s="4">
        <f t="shared" si="64"/>
        <v>1</v>
      </c>
      <c r="AN105" s="4">
        <f t="shared" si="74"/>
        <v>1</v>
      </c>
      <c r="AO105" s="4">
        <f t="shared" si="75"/>
        <v>0</v>
      </c>
    </row>
    <row r="106" spans="2:41" ht="12.75">
      <c r="B106" s="10"/>
      <c r="C106" s="10"/>
      <c r="D106" s="10"/>
      <c r="E106" s="10"/>
      <c r="F106" s="10"/>
      <c r="G106" s="10"/>
      <c r="H106" s="107">
        <f t="shared" si="76"/>
        <v>96</v>
      </c>
      <c r="I106" s="98">
        <f ca="1" t="shared" si="65"/>
        <v>-0.30284092566103965</v>
      </c>
      <c r="J106" s="99"/>
      <c r="K106" s="97">
        <f t="shared" si="47"/>
        <v>473.34964450244524</v>
      </c>
      <c r="L106" s="70">
        <f>EXP(Salpha+LN(1+$I106)+Sbeta*LN(K106))</f>
        <v>1751427.9679996641</v>
      </c>
      <c r="M106" s="70">
        <f t="shared" si="49"/>
        <v>1751427.9679996641</v>
      </c>
      <c r="N106" s="100">
        <f t="shared" si="66"/>
        <v>829.037806024281</v>
      </c>
      <c r="O106" s="28"/>
      <c r="P106" s="97">
        <f t="shared" si="50"/>
        <v>400</v>
      </c>
      <c r="Q106" s="70">
        <f>EXP(Salpha+LN(1+$I106)+Sbeta*LN(P106))</f>
        <v>1610019.9169503555</v>
      </c>
      <c r="R106" s="70">
        <f t="shared" si="52"/>
        <v>1905255.8883257702</v>
      </c>
      <c r="S106" s="70">
        <f t="shared" si="67"/>
        <v>644.0079667801422</v>
      </c>
      <c r="T106" s="101">
        <f>R106-Q106</f>
        <v>295235.97137541464</v>
      </c>
      <c r="U106" s="102">
        <f>T106*Import_tariff*Pw/1000000</f>
        <v>0</v>
      </c>
      <c r="V106" s="103"/>
      <c r="W106" s="97">
        <f t="shared" si="55"/>
        <v>400</v>
      </c>
      <c r="X106" s="70">
        <f>EXP(Salpha+LN(1+$I106)+Sbeta*LN(W106))</f>
        <v>1610019.9169503555</v>
      </c>
      <c r="Y106" s="70">
        <f t="shared" si="57"/>
        <v>1905255.8883257702</v>
      </c>
      <c r="Z106" s="70">
        <f t="shared" si="68"/>
        <v>644.0079667801422</v>
      </c>
      <c r="AA106" s="68">
        <f t="shared" si="69"/>
        <v>-295235.97137541464</v>
      </c>
      <c r="AB106" s="101">
        <f t="shared" si="70"/>
        <v>2476894.7235295065</v>
      </c>
      <c r="AC106" s="104">
        <f t="shared" si="71"/>
        <v>-118.09438855016586</v>
      </c>
      <c r="AD106" s="104">
        <f t="shared" si="58"/>
        <v>7.380899284385366</v>
      </c>
      <c r="AE106" s="105">
        <f t="shared" si="59"/>
        <v>24.768947235295066</v>
      </c>
      <c r="AF106" s="105">
        <f t="shared" si="60"/>
        <v>74.3068417058852</v>
      </c>
      <c r="AG106" s="105">
        <f t="shared" si="72"/>
        <v>-11.637700324600218</v>
      </c>
      <c r="AH106" s="106">
        <f t="shared" si="73"/>
        <v>5187.054255881396</v>
      </c>
      <c r="AI106" s="95">
        <f>Initial_fund-AH106</f>
        <v>-187.05425588139587</v>
      </c>
      <c r="AK106" s="4">
        <f t="shared" si="62"/>
        <v>0</v>
      </c>
      <c r="AL106" s="4">
        <f t="shared" si="63"/>
        <v>1</v>
      </c>
      <c r="AM106" s="4">
        <f t="shared" si="64"/>
        <v>1</v>
      </c>
      <c r="AN106" s="4">
        <f t="shared" si="74"/>
        <v>1</v>
      </c>
      <c r="AO106" s="4">
        <f t="shared" si="75"/>
        <v>0</v>
      </c>
    </row>
    <row r="107" spans="2:41" ht="12.75">
      <c r="B107" s="10"/>
      <c r="C107" s="10"/>
      <c r="D107" s="10"/>
      <c r="E107" s="10"/>
      <c r="F107" s="10"/>
      <c r="G107" s="10"/>
      <c r="H107" s="107">
        <f t="shared" si="76"/>
        <v>97</v>
      </c>
      <c r="I107" s="98">
        <f ca="1" t="shared" si="65"/>
        <v>-0.2255553250187766</v>
      </c>
      <c r="J107" s="99"/>
      <c r="K107" s="97">
        <f t="shared" si="47"/>
        <v>426.1117813328651</v>
      </c>
      <c r="L107" s="70">
        <f>EXP(Salpha+LN(1+$I107)+Sbeta*LN(K107))</f>
        <v>1845956.8169156606</v>
      </c>
      <c r="M107" s="70">
        <f t="shared" si="49"/>
        <v>1845956.8169156574</v>
      </c>
      <c r="N107" s="100">
        <f t="shared" si="66"/>
        <v>786.5839475194778</v>
      </c>
      <c r="O107" s="28"/>
      <c r="P107" s="97">
        <f t="shared" si="50"/>
        <v>400</v>
      </c>
      <c r="Q107" s="70">
        <f>EXP(Salpha+LN(1+$I107)+Sbeta*LN(P107))</f>
        <v>1788503.366291526</v>
      </c>
      <c r="R107" s="70">
        <f t="shared" si="52"/>
        <v>1905255.8883257702</v>
      </c>
      <c r="S107" s="70">
        <f t="shared" si="67"/>
        <v>715.4013465166104</v>
      </c>
      <c r="T107" s="101">
        <f>R107-Q107</f>
        <v>116752.52203424415</v>
      </c>
      <c r="U107" s="102">
        <f>T107*Import_tariff*Pw/1000000</f>
        <v>0</v>
      </c>
      <c r="V107" s="103"/>
      <c r="W107" s="97">
        <f t="shared" si="55"/>
        <v>400</v>
      </c>
      <c r="X107" s="70">
        <f>EXP(Salpha+LN(1+$I107)+Sbeta*LN(W107))</f>
        <v>1788503.366291526</v>
      </c>
      <c r="Y107" s="70">
        <f t="shared" si="57"/>
        <v>1905255.8883257702</v>
      </c>
      <c r="Z107" s="70">
        <f t="shared" si="68"/>
        <v>715.4013465166104</v>
      </c>
      <c r="AA107" s="68">
        <f t="shared" si="69"/>
        <v>-116752.52203424415</v>
      </c>
      <c r="AB107" s="101">
        <f t="shared" si="70"/>
        <v>2360142.2014952623</v>
      </c>
      <c r="AC107" s="104">
        <f t="shared" si="71"/>
        <v>-46.70100881369766</v>
      </c>
      <c r="AD107" s="104">
        <f t="shared" si="58"/>
        <v>2.918813050856104</v>
      </c>
      <c r="AE107" s="105">
        <f t="shared" si="59"/>
        <v>23.60142201495262</v>
      </c>
      <c r="AF107" s="105">
        <f t="shared" si="60"/>
        <v>70.80426604485787</v>
      </c>
      <c r="AG107" s="105">
        <f t="shared" si="72"/>
        <v>50.623492296968934</v>
      </c>
      <c r="AH107" s="106">
        <f t="shared" si="73"/>
        <v>5237.677748178365</v>
      </c>
      <c r="AI107" s="95">
        <f>Initial_fund-AH107</f>
        <v>-237.6777481783647</v>
      </c>
      <c r="AK107" s="4">
        <f t="shared" si="62"/>
        <v>0</v>
      </c>
      <c r="AL107" s="4">
        <f t="shared" si="63"/>
        <v>1</v>
      </c>
      <c r="AM107" s="4">
        <f t="shared" si="64"/>
        <v>1</v>
      </c>
      <c r="AN107" s="4">
        <f t="shared" si="74"/>
        <v>1</v>
      </c>
      <c r="AO107" s="4">
        <f t="shared" si="75"/>
        <v>0</v>
      </c>
    </row>
    <row r="108" spans="2:41" ht="12.75">
      <c r="B108" s="10"/>
      <c r="C108" s="10"/>
      <c r="D108" s="10"/>
      <c r="E108" s="10"/>
      <c r="F108" s="10"/>
      <c r="G108" s="10"/>
      <c r="H108" s="107">
        <f t="shared" si="76"/>
        <v>98</v>
      </c>
      <c r="I108" s="98">
        <f ca="1" t="shared" si="65"/>
        <v>-0.31556616036869645</v>
      </c>
      <c r="J108" s="99"/>
      <c r="K108" s="97">
        <f t="shared" si="47"/>
        <v>482.1503276018146</v>
      </c>
      <c r="L108" s="70">
        <f>EXP(Salpha+LN(1+$I108)+Sbeta*LN(K108))</f>
        <v>1735369.958936062</v>
      </c>
      <c r="M108" s="70">
        <f t="shared" si="49"/>
        <v>1735369.9589360587</v>
      </c>
      <c r="N108" s="100">
        <f t="shared" si="66"/>
        <v>836.7091942113698</v>
      </c>
      <c r="O108" s="28"/>
      <c r="P108" s="97">
        <f t="shared" si="50"/>
        <v>400</v>
      </c>
      <c r="Q108" s="70">
        <f>EXP(Salpha+LN(1+$I108)+Sbeta*LN(P108))</f>
        <v>1580632.246214489</v>
      </c>
      <c r="R108" s="70">
        <f t="shared" si="52"/>
        <v>1905255.8883257702</v>
      </c>
      <c r="S108" s="70">
        <f t="shared" si="67"/>
        <v>632.2528984857956</v>
      </c>
      <c r="T108" s="101">
        <f>R108-Q108</f>
        <v>324623.64211128117</v>
      </c>
      <c r="U108" s="102">
        <f>T108*Import_tariff*Pw/1000000</f>
        <v>0</v>
      </c>
      <c r="V108" s="103"/>
      <c r="W108" s="97">
        <f t="shared" si="55"/>
        <v>400</v>
      </c>
      <c r="X108" s="70">
        <f>EXP(Salpha+LN(1+$I108)+Sbeta*LN(W108))</f>
        <v>1580632.246214489</v>
      </c>
      <c r="Y108" s="70">
        <f t="shared" si="57"/>
        <v>1905255.8883257702</v>
      </c>
      <c r="Z108" s="70">
        <f t="shared" si="68"/>
        <v>632.2528984857956</v>
      </c>
      <c r="AA108" s="68">
        <f t="shared" si="69"/>
        <v>-324623.64211128117</v>
      </c>
      <c r="AB108" s="101">
        <f t="shared" si="70"/>
        <v>2035518.5593839812</v>
      </c>
      <c r="AC108" s="104">
        <f t="shared" si="71"/>
        <v>-129.84945684451247</v>
      </c>
      <c r="AD108" s="104">
        <f t="shared" si="58"/>
        <v>8.11559105278203</v>
      </c>
      <c r="AE108" s="105">
        <f t="shared" si="59"/>
        <v>20.355185593839813</v>
      </c>
      <c r="AF108" s="105">
        <f t="shared" si="60"/>
        <v>61.06555678151944</v>
      </c>
      <c r="AG108" s="105">
        <f t="shared" si="72"/>
        <v>-40.31312341637118</v>
      </c>
      <c r="AH108" s="106">
        <f t="shared" si="73"/>
        <v>5197.364624761994</v>
      </c>
      <c r="AI108" s="95">
        <f>Initial_fund-AH108</f>
        <v>-197.36462476199358</v>
      </c>
      <c r="AK108" s="4">
        <f t="shared" si="62"/>
        <v>0</v>
      </c>
      <c r="AL108" s="4">
        <f t="shared" si="63"/>
        <v>1</v>
      </c>
      <c r="AM108" s="4">
        <f t="shared" si="64"/>
        <v>1</v>
      </c>
      <c r="AN108" s="4">
        <f t="shared" si="74"/>
        <v>1</v>
      </c>
      <c r="AO108" s="4">
        <f t="shared" si="75"/>
        <v>0</v>
      </c>
    </row>
    <row r="109" spans="2:41" ht="12.75">
      <c r="B109" s="10"/>
      <c r="C109" s="10"/>
      <c r="D109" s="10"/>
      <c r="E109" s="10"/>
      <c r="F109" s="10"/>
      <c r="G109" s="10"/>
      <c r="H109" s="107">
        <f t="shared" si="76"/>
        <v>99</v>
      </c>
      <c r="I109" s="98">
        <f ca="1" t="shared" si="65"/>
        <v>0.3041778964992097</v>
      </c>
      <c r="J109" s="99"/>
      <c r="K109" s="97">
        <f t="shared" si="47"/>
        <v>253.03296497035882</v>
      </c>
      <c r="L109" s="70">
        <f>EXP(Salpha+LN(1+$I109)+Sbeta*LN(K109))</f>
        <v>2395492.171683416</v>
      </c>
      <c r="M109" s="70">
        <f t="shared" si="49"/>
        <v>2395492.171683416</v>
      </c>
      <c r="N109" s="100">
        <f t="shared" si="66"/>
        <v>606.1384867643385</v>
      </c>
      <c r="O109" s="28"/>
      <c r="P109" s="97">
        <f t="shared" si="50"/>
        <v>253.03296497035882</v>
      </c>
      <c r="Q109" s="70">
        <f>EXP(Salpha+LN(1+$I109)+Sbeta*LN(P109))</f>
        <v>2395492.171683416</v>
      </c>
      <c r="R109" s="70">
        <f t="shared" si="52"/>
        <v>2395492.171683416</v>
      </c>
      <c r="S109" s="70">
        <f t="shared" si="67"/>
        <v>606.1384867643385</v>
      </c>
      <c r="T109" s="101">
        <f>R109-Q109</f>
        <v>0</v>
      </c>
      <c r="U109" s="102">
        <f>T109*Import_tariff*Pw/1000000</f>
        <v>0</v>
      </c>
      <c r="V109" s="103"/>
      <c r="W109" s="97">
        <f t="shared" si="55"/>
        <v>300</v>
      </c>
      <c r="X109" s="70">
        <f>EXP(Salpha+LN(1+$I109)+Sbeta*LN(W109))</f>
        <v>2608355.7929984163</v>
      </c>
      <c r="Y109" s="70">
        <f t="shared" si="57"/>
        <v>2200000.0000000047</v>
      </c>
      <c r="Z109" s="70">
        <f t="shared" si="68"/>
        <v>782.506737899525</v>
      </c>
      <c r="AA109" s="68">
        <f t="shared" si="69"/>
        <v>408355.7929984117</v>
      </c>
      <c r="AB109" s="101">
        <f t="shared" si="70"/>
        <v>2443874.3523823926</v>
      </c>
      <c r="AC109" s="104">
        <f t="shared" si="71"/>
        <v>122.50673789952351</v>
      </c>
      <c r="AD109" s="104">
        <f t="shared" si="58"/>
        <v>10.208894824960291</v>
      </c>
      <c r="AE109" s="105">
        <f t="shared" si="59"/>
        <v>24.438743523823923</v>
      </c>
      <c r="AF109" s="105">
        <f t="shared" si="60"/>
        <v>54.98717292860383</v>
      </c>
      <c r="AG109" s="105">
        <f t="shared" si="72"/>
        <v>212.14154917691155</v>
      </c>
      <c r="AH109" s="106">
        <f t="shared" si="73"/>
        <v>5409.506173938905</v>
      </c>
      <c r="AI109" s="95">
        <f>Initial_fund-AH109</f>
        <v>-409.5061739389048</v>
      </c>
      <c r="AK109" s="4">
        <f t="shared" si="62"/>
        <v>0</v>
      </c>
      <c r="AL109" s="4">
        <f t="shared" si="63"/>
        <v>1</v>
      </c>
      <c r="AM109" s="4">
        <f t="shared" si="64"/>
        <v>1</v>
      </c>
      <c r="AN109" s="4">
        <f t="shared" si="74"/>
        <v>0</v>
      </c>
      <c r="AO109" s="4">
        <f t="shared" si="75"/>
        <v>1</v>
      </c>
    </row>
    <row r="110" spans="2:35" ht="12.75">
      <c r="B110" s="10"/>
      <c r="C110" s="10"/>
      <c r="D110" s="10"/>
      <c r="E110" s="10"/>
      <c r="F110" s="10"/>
      <c r="G110" s="10"/>
      <c r="H110" s="117"/>
      <c r="I110" s="15"/>
      <c r="J110" s="28"/>
      <c r="K110" s="13"/>
      <c r="L110" s="118"/>
      <c r="M110" s="31"/>
      <c r="N110" s="15"/>
      <c r="O110" s="28"/>
      <c r="P110" s="13"/>
      <c r="Q110" s="31"/>
      <c r="R110" s="31"/>
      <c r="S110" s="31"/>
      <c r="T110" s="31"/>
      <c r="U110" s="15"/>
      <c r="V110" s="28"/>
      <c r="W110" s="13"/>
      <c r="X110" s="31"/>
      <c r="Y110" s="31"/>
      <c r="Z110" s="31"/>
      <c r="AA110" s="119"/>
      <c r="AB110" s="31"/>
      <c r="AC110" s="31"/>
      <c r="AD110" s="31"/>
      <c r="AE110" s="36"/>
      <c r="AF110" s="36"/>
      <c r="AG110" s="36"/>
      <c r="AH110" s="36"/>
      <c r="AI110" s="120"/>
    </row>
    <row r="111" spans="2:39" ht="12.75">
      <c r="B111" s="10"/>
      <c r="C111" s="10"/>
      <c r="D111" s="10"/>
      <c r="E111" s="10"/>
      <c r="F111" s="10"/>
      <c r="G111" s="121"/>
      <c r="H111" s="10"/>
      <c r="I111" s="10"/>
      <c r="J111" s="28"/>
      <c r="K111" s="10"/>
      <c r="L111" s="10"/>
      <c r="M111" s="10"/>
      <c r="N111" s="10"/>
      <c r="O111" s="2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71"/>
      <c r="AB111" s="10"/>
      <c r="AC111" s="10"/>
      <c r="AD111" s="10"/>
      <c r="AK111" s="4">
        <f>IF(SUM(AK9:AK19)&gt;0,1,0)</f>
        <v>0</v>
      </c>
      <c r="AL111" s="4">
        <f>IF(SUM(AL9:AL19)&gt;0,1,0)</f>
        <v>0</v>
      </c>
      <c r="AM111" s="4">
        <f>IF(SUM(AM9:AM19)&gt;0,1,0)</f>
        <v>1</v>
      </c>
    </row>
    <row r="112" spans="7:41" ht="12.75">
      <c r="G112" s="122"/>
      <c r="H112" s="123"/>
      <c r="I112" s="6"/>
      <c r="J112" s="6"/>
      <c r="K112" s="124"/>
      <c r="O112" s="123"/>
      <c r="P112" s="6"/>
      <c r="R112" s="124"/>
      <c r="S112" s="124"/>
      <c r="T112" s="124"/>
      <c r="U112" s="124"/>
      <c r="AK112" s="125">
        <f>AVERAGE(AK9:AK109)</f>
        <v>0.09</v>
      </c>
      <c r="AL112" s="125">
        <f>AVERAGE(AL9:AL109)</f>
        <v>0.08</v>
      </c>
      <c r="AM112" s="125">
        <f>AVERAGE(AM9:AM109)</f>
        <v>0.83</v>
      </c>
      <c r="AN112" s="125">
        <f>AVERAGE(AN9:AN109)</f>
        <v>0.31</v>
      </c>
      <c r="AO112" s="125">
        <f>AVERAGE(AO9:AO109)</f>
        <v>0.39</v>
      </c>
    </row>
    <row r="113" spans="7:21" ht="12.75">
      <c r="G113" s="122"/>
      <c r="H113" s="123"/>
      <c r="I113" s="6"/>
      <c r="J113" s="6"/>
      <c r="K113" s="124"/>
      <c r="O113" s="123"/>
      <c r="P113" s="6"/>
      <c r="R113" s="124"/>
      <c r="S113" s="124"/>
      <c r="T113" s="124"/>
      <c r="U113" s="124"/>
    </row>
    <row r="114" spans="7:21" ht="12.75">
      <c r="G114" s="122"/>
      <c r="H114" s="123"/>
      <c r="I114" s="6"/>
      <c r="J114" s="6"/>
      <c r="K114" s="124"/>
      <c r="O114" s="123"/>
      <c r="P114" s="6"/>
      <c r="R114" s="124"/>
      <c r="S114" s="124"/>
      <c r="T114" s="124"/>
      <c r="U114" s="124"/>
    </row>
    <row r="115" spans="7:21" ht="12.75">
      <c r="G115" s="122"/>
      <c r="H115" s="123"/>
      <c r="I115" s="6"/>
      <c r="J115" s="6"/>
      <c r="K115" s="124"/>
      <c r="O115" s="123"/>
      <c r="P115" s="6"/>
      <c r="R115" s="124"/>
      <c r="S115" s="124"/>
      <c r="T115" s="124"/>
      <c r="U115" s="124"/>
    </row>
    <row r="116" spans="7:21" ht="12.75">
      <c r="G116" s="122"/>
      <c r="H116" s="123"/>
      <c r="I116" s="6"/>
      <c r="J116" s="6"/>
      <c r="K116" s="124"/>
      <c r="O116" s="123"/>
      <c r="P116" s="6"/>
      <c r="R116" s="124"/>
      <c r="S116" s="124"/>
      <c r="T116" s="124"/>
      <c r="U116" s="124"/>
    </row>
    <row r="117" spans="7:21" ht="12.75">
      <c r="G117" s="122"/>
      <c r="H117" s="123"/>
      <c r="I117" s="6"/>
      <c r="J117" s="6"/>
      <c r="K117" s="124"/>
      <c r="O117" s="123"/>
      <c r="P117" s="6"/>
      <c r="R117" s="124"/>
      <c r="S117" s="124"/>
      <c r="T117" s="124"/>
      <c r="U117" s="124"/>
    </row>
    <row r="118" spans="7:21" ht="12.75">
      <c r="G118" s="122"/>
      <c r="H118" s="123"/>
      <c r="I118" s="6"/>
      <c r="J118" s="6"/>
      <c r="K118" s="124"/>
      <c r="O118" s="123"/>
      <c r="P118" s="6"/>
      <c r="R118" s="124"/>
      <c r="S118" s="124"/>
      <c r="T118" s="124"/>
      <c r="U118" s="124"/>
    </row>
    <row r="119" spans="7:21" ht="12.75">
      <c r="G119" s="122"/>
      <c r="H119" s="123"/>
      <c r="I119" s="6"/>
      <c r="J119" s="6"/>
      <c r="K119" s="124"/>
      <c r="O119" s="123"/>
      <c r="P119" s="6"/>
      <c r="R119" s="124"/>
      <c r="S119" s="124"/>
      <c r="T119" s="124"/>
      <c r="U119" s="124"/>
    </row>
    <row r="120" spans="7:21" ht="12.75">
      <c r="G120" s="122"/>
      <c r="H120" s="123"/>
      <c r="I120" s="6"/>
      <c r="J120" s="6"/>
      <c r="K120" s="124"/>
      <c r="O120" s="123"/>
      <c r="P120" s="6"/>
      <c r="R120" s="124"/>
      <c r="S120" s="124"/>
      <c r="T120" s="124"/>
      <c r="U120" s="124"/>
    </row>
    <row r="121" spans="7:21" ht="12.75">
      <c r="G121" s="122"/>
      <c r="H121" s="123"/>
      <c r="I121" s="6"/>
      <c r="J121" s="6"/>
      <c r="K121" s="124"/>
      <c r="O121" s="123"/>
      <c r="P121" s="6"/>
      <c r="R121" s="124"/>
      <c r="S121" s="124"/>
      <c r="T121" s="124"/>
      <c r="U121" s="124"/>
    </row>
    <row r="122" spans="7:21" ht="12.75">
      <c r="G122" s="122"/>
      <c r="H122" s="123"/>
      <c r="I122" s="6"/>
      <c r="J122" s="6"/>
      <c r="K122" s="124"/>
      <c r="O122" s="123"/>
      <c r="P122" s="6"/>
      <c r="R122" s="124"/>
      <c r="S122" s="124"/>
      <c r="T122" s="124"/>
      <c r="U122" s="124"/>
    </row>
    <row r="123" spans="7:21" ht="12.75">
      <c r="G123" s="122"/>
      <c r="H123" s="123"/>
      <c r="I123" s="6"/>
      <c r="J123" s="6"/>
      <c r="K123" s="124"/>
      <c r="O123" s="123"/>
      <c r="P123" s="6"/>
      <c r="R123" s="124"/>
      <c r="S123" s="124"/>
      <c r="T123" s="124"/>
      <c r="U123" s="124"/>
    </row>
    <row r="124" spans="7:21" ht="12.75">
      <c r="G124" s="122"/>
      <c r="H124" s="123"/>
      <c r="I124" s="6"/>
      <c r="J124" s="6"/>
      <c r="K124" s="124"/>
      <c r="O124" s="123"/>
      <c r="P124" s="6"/>
      <c r="R124" s="124"/>
      <c r="S124" s="124"/>
      <c r="T124" s="124"/>
      <c r="U124" s="124"/>
    </row>
    <row r="125" spans="7:21" ht="12.75">
      <c r="G125" s="122"/>
      <c r="H125" s="123"/>
      <c r="I125" s="6"/>
      <c r="J125" s="6"/>
      <c r="K125" s="124"/>
      <c r="O125" s="123"/>
      <c r="P125" s="6"/>
      <c r="R125" s="124"/>
      <c r="S125" s="124"/>
      <c r="T125" s="124"/>
      <c r="U125" s="124"/>
    </row>
    <row r="126" spans="7:21" ht="12.75">
      <c r="G126" s="122"/>
      <c r="H126" s="123"/>
      <c r="I126" s="6"/>
      <c r="J126" s="6"/>
      <c r="K126" s="124"/>
      <c r="O126" s="123"/>
      <c r="P126" s="6"/>
      <c r="R126" s="124"/>
      <c r="S126" s="124"/>
      <c r="T126" s="124"/>
      <c r="U126" s="124"/>
    </row>
    <row r="127" spans="7:21" ht="12.75">
      <c r="G127" s="122"/>
      <c r="H127" s="123"/>
      <c r="I127" s="6"/>
      <c r="J127" s="6"/>
      <c r="K127" s="124"/>
      <c r="O127" s="123"/>
      <c r="P127" s="6"/>
      <c r="R127" s="124"/>
      <c r="S127" s="124"/>
      <c r="T127" s="124"/>
      <c r="U127" s="124"/>
    </row>
    <row r="128" spans="7:21" ht="12.75">
      <c r="G128" s="122"/>
      <c r="H128" s="123"/>
      <c r="I128" s="6"/>
      <c r="J128" s="6"/>
      <c r="K128" s="124"/>
      <c r="O128" s="123"/>
      <c r="P128" s="6"/>
      <c r="R128" s="124"/>
      <c r="S128" s="124"/>
      <c r="T128" s="124"/>
      <c r="U128" s="124"/>
    </row>
    <row r="129" spans="7:21" ht="12.75">
      <c r="G129" s="122"/>
      <c r="H129" s="123"/>
      <c r="I129" s="6"/>
      <c r="J129" s="6"/>
      <c r="K129" s="124"/>
      <c r="O129" s="123"/>
      <c r="P129" s="6"/>
      <c r="R129" s="124"/>
      <c r="S129" s="124"/>
      <c r="T129" s="124"/>
      <c r="U129" s="124"/>
    </row>
    <row r="130" spans="7:21" ht="12.75">
      <c r="G130" s="122"/>
      <c r="H130" s="123"/>
      <c r="I130" s="6"/>
      <c r="J130" s="6"/>
      <c r="K130" s="124"/>
      <c r="O130" s="123"/>
      <c r="P130" s="6"/>
      <c r="R130" s="124"/>
      <c r="S130" s="124"/>
      <c r="T130" s="124"/>
      <c r="U130" s="124"/>
    </row>
    <row r="131" spans="7:21" ht="12.75">
      <c r="G131" s="122"/>
      <c r="H131" s="123"/>
      <c r="I131" s="6"/>
      <c r="J131" s="6"/>
      <c r="K131" s="124"/>
      <c r="O131" s="123"/>
      <c r="P131" s="6"/>
      <c r="R131" s="124"/>
      <c r="S131" s="124"/>
      <c r="T131" s="124"/>
      <c r="U131" s="124"/>
    </row>
    <row r="132" spans="7:21" ht="12.75">
      <c r="G132" s="122"/>
      <c r="H132" s="123"/>
      <c r="I132" s="6"/>
      <c r="J132" s="6"/>
      <c r="K132" s="124"/>
      <c r="O132" s="123"/>
      <c r="P132" s="6"/>
      <c r="R132" s="124"/>
      <c r="S132" s="124"/>
      <c r="T132" s="124"/>
      <c r="U132" s="124"/>
    </row>
    <row r="133" spans="7:21" ht="12.75">
      <c r="G133" s="122"/>
      <c r="H133" s="123"/>
      <c r="I133" s="6"/>
      <c r="J133" s="6"/>
      <c r="K133" s="124"/>
      <c r="O133" s="123"/>
      <c r="P133" s="6"/>
      <c r="R133" s="124"/>
      <c r="S133" s="124"/>
      <c r="T133" s="124"/>
      <c r="U133" s="124"/>
    </row>
    <row r="134" spans="7:21" ht="12.75">
      <c r="G134" s="122"/>
      <c r="H134" s="123"/>
      <c r="I134" s="6"/>
      <c r="J134" s="6"/>
      <c r="K134" s="124"/>
      <c r="O134" s="123"/>
      <c r="P134" s="6"/>
      <c r="R134" s="124"/>
      <c r="S134" s="124"/>
      <c r="T134" s="124"/>
      <c r="U134" s="124"/>
    </row>
    <row r="135" spans="7:21" ht="12.75">
      <c r="G135" s="122"/>
      <c r="H135" s="123"/>
      <c r="I135" s="6"/>
      <c r="J135" s="6"/>
      <c r="K135" s="124"/>
      <c r="O135" s="123"/>
      <c r="P135" s="6"/>
      <c r="R135" s="124"/>
      <c r="S135" s="124"/>
      <c r="T135" s="124"/>
      <c r="U135" s="124"/>
    </row>
    <row r="136" spans="7:21" ht="12.75">
      <c r="G136" s="122"/>
      <c r="H136" s="123"/>
      <c r="I136" s="6"/>
      <c r="J136" s="6"/>
      <c r="K136" s="124"/>
      <c r="O136" s="123"/>
      <c r="P136" s="6"/>
      <c r="R136" s="124"/>
      <c r="S136" s="124"/>
      <c r="T136" s="124"/>
      <c r="U136" s="124"/>
    </row>
    <row r="137" spans="7:21" ht="12.75">
      <c r="G137" s="122"/>
      <c r="H137" s="123"/>
      <c r="I137" s="6"/>
      <c r="J137" s="6"/>
      <c r="K137" s="124"/>
      <c r="O137" s="123"/>
      <c r="P137" s="6"/>
      <c r="R137" s="124"/>
      <c r="S137" s="124"/>
      <c r="T137" s="124"/>
      <c r="U137" s="124"/>
    </row>
    <row r="138" spans="7:21" ht="12.75">
      <c r="G138" s="122"/>
      <c r="H138" s="123"/>
      <c r="I138" s="6"/>
      <c r="J138" s="6"/>
      <c r="K138" s="124"/>
      <c r="O138" s="123"/>
      <c r="P138" s="6"/>
      <c r="R138" s="124"/>
      <c r="S138" s="124"/>
      <c r="T138" s="124"/>
      <c r="U138" s="124"/>
    </row>
    <row r="139" spans="7:21" ht="12.75">
      <c r="G139" s="122"/>
      <c r="H139" s="123"/>
      <c r="I139" s="6"/>
      <c r="J139" s="6"/>
      <c r="K139" s="124"/>
      <c r="O139" s="123"/>
      <c r="P139" s="6"/>
      <c r="R139" s="124"/>
      <c r="S139" s="124"/>
      <c r="T139" s="124"/>
      <c r="U139" s="124"/>
    </row>
    <row r="140" spans="7:21" ht="12.75">
      <c r="G140" s="122"/>
      <c r="H140" s="123"/>
      <c r="I140" s="6"/>
      <c r="J140" s="6"/>
      <c r="K140" s="124"/>
      <c r="O140" s="123"/>
      <c r="P140" s="6"/>
      <c r="R140" s="124"/>
      <c r="S140" s="124"/>
      <c r="T140" s="124"/>
      <c r="U140" s="124"/>
    </row>
    <row r="141" spans="7:21" ht="12.75">
      <c r="G141" s="122"/>
      <c r="H141" s="123"/>
      <c r="I141" s="6"/>
      <c r="J141" s="6"/>
      <c r="K141" s="124"/>
      <c r="O141" s="123"/>
      <c r="P141" s="6"/>
      <c r="R141" s="124"/>
      <c r="S141" s="124"/>
      <c r="T141" s="124"/>
      <c r="U141" s="124"/>
    </row>
    <row r="142" spans="7:21" ht="12.75">
      <c r="G142" s="122"/>
      <c r="H142" s="123"/>
      <c r="I142" s="6"/>
      <c r="J142" s="6"/>
      <c r="K142" s="124"/>
      <c r="O142" s="123"/>
      <c r="P142" s="6"/>
      <c r="Q142" s="6"/>
      <c r="R142" s="124"/>
      <c r="S142" s="124"/>
      <c r="T142" s="124"/>
      <c r="U142" s="124"/>
    </row>
    <row r="143" spans="7:11" ht="12.75">
      <c r="G143" s="122"/>
      <c r="K143" s="124"/>
    </row>
    <row r="144" ht="12.75">
      <c r="F144" s="122"/>
    </row>
    <row r="145" ht="12.75">
      <c r="F145" s="122"/>
    </row>
    <row r="146" ht="12.75">
      <c r="F146" s="122"/>
    </row>
    <row r="147" ht="12.75">
      <c r="F147" s="122"/>
    </row>
    <row r="148" ht="12.75">
      <c r="F148" s="122"/>
    </row>
    <row r="149" ht="12.75">
      <c r="F149" s="122"/>
    </row>
    <row r="150" ht="12.75">
      <c r="F150" s="122"/>
    </row>
    <row r="151" ht="12.75">
      <c r="F151" s="122"/>
    </row>
    <row r="152" ht="12.75">
      <c r="F152" s="122"/>
    </row>
    <row r="153" ht="12.75">
      <c r="F153" s="122"/>
    </row>
    <row r="154" ht="12.75">
      <c r="F154" s="122"/>
    </row>
    <row r="155" ht="12.75">
      <c r="F155" s="122"/>
    </row>
    <row r="156" ht="12.75">
      <c r="F156" s="122"/>
    </row>
    <row r="157" ht="12.75">
      <c r="F157" s="122"/>
    </row>
    <row r="158" ht="12.75">
      <c r="F158" s="122"/>
    </row>
    <row r="159" ht="12.75">
      <c r="F159" s="122"/>
    </row>
    <row r="160" ht="12.75">
      <c r="F160" s="122"/>
    </row>
    <row r="161" ht="12.75">
      <c r="F161" s="122"/>
    </row>
    <row r="162" ht="12.75">
      <c r="F162" s="122"/>
    </row>
  </sheetData>
  <sheetProtection sheet="1"/>
  <conditionalFormatting sqref="AB9:AB109">
    <cfRule type="cellIs" priority="2" dxfId="0" operator="lessThan" stopIfTrue="1">
      <formula>0</formula>
    </cfRule>
  </conditionalFormatting>
  <conditionalFormatting sqref="AI9:AI10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197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2" width="9.140625" style="135" customWidth="1"/>
    <col min="3" max="5" width="10.28125" style="0" bestFit="1" customWidth="1"/>
    <col min="7" max="7" width="11.421875" style="0" bestFit="1" customWidth="1"/>
  </cols>
  <sheetData>
    <row r="1" ht="12.75">
      <c r="C1" s="10" t="s">
        <v>104</v>
      </c>
    </row>
    <row r="2" spans="1:6" ht="12.75">
      <c r="A2" s="135">
        <v>33970</v>
      </c>
      <c r="B2" s="137" t="s">
        <v>105</v>
      </c>
      <c r="C2" s="136">
        <v>26158.4746457046</v>
      </c>
      <c r="E2" s="150" t="s">
        <v>28</v>
      </c>
      <c r="F2" s="150" t="s">
        <v>63</v>
      </c>
    </row>
    <row r="3" spans="1:6" ht="12.75">
      <c r="A3" s="135">
        <v>34001</v>
      </c>
      <c r="C3" s="136">
        <v>25731.78576057466</v>
      </c>
      <c r="E3" s="141">
        <f>STDEV(C2:C195)/AVERAGE(C2:C195)</f>
        <v>0.26302250658961424</v>
      </c>
      <c r="F3" s="138">
        <f>AVERAGE(C2:C114)</f>
        <v>18310.76641110321</v>
      </c>
    </row>
    <row r="4" spans="1:3" ht="12.75">
      <c r="A4" s="135">
        <v>34029</v>
      </c>
      <c r="C4" s="136">
        <v>24808.370046779477</v>
      </c>
    </row>
    <row r="5" spans="1:3" ht="12.75">
      <c r="A5" s="135">
        <v>34060</v>
      </c>
      <c r="C5" s="136">
        <v>21533.76729266239</v>
      </c>
    </row>
    <row r="6" spans="1:3" ht="12.75">
      <c r="A6" s="135">
        <v>34090</v>
      </c>
      <c r="C6" s="136">
        <v>19786.29156988855</v>
      </c>
    </row>
    <row r="7" spans="1:3" ht="12.75">
      <c r="A7" s="135">
        <v>34121</v>
      </c>
      <c r="C7" s="136">
        <v>18525.92181676632</v>
      </c>
    </row>
    <row r="8" spans="1:3" ht="12.75">
      <c r="A8" s="135">
        <v>34151</v>
      </c>
      <c r="C8" s="136">
        <v>18116.933472406978</v>
      </c>
    </row>
    <row r="9" spans="1:3" ht="12.75">
      <c r="A9" s="135">
        <v>34182</v>
      </c>
      <c r="C9" s="136">
        <v>18663.441915088024</v>
      </c>
    </row>
    <row r="10" spans="1:3" ht="12.75">
      <c r="A10" s="135">
        <v>34213</v>
      </c>
      <c r="C10" s="136">
        <v>18590.204039924378</v>
      </c>
    </row>
    <row r="11" spans="1:3" ht="12.75">
      <c r="A11" s="135">
        <v>34243</v>
      </c>
      <c r="C11" s="136">
        <v>18314.79360970328</v>
      </c>
    </row>
    <row r="12" spans="1:3" ht="12.75">
      <c r="A12" s="135">
        <v>34274</v>
      </c>
      <c r="C12" s="136">
        <v>19350.71238701219</v>
      </c>
    </row>
    <row r="13" spans="1:3" ht="12.75">
      <c r="A13" s="135">
        <v>34304</v>
      </c>
      <c r="C13" s="136">
        <v>21847.692764061067</v>
      </c>
    </row>
    <row r="14" spans="1:3" ht="12.75">
      <c r="A14" s="135">
        <v>34335</v>
      </c>
      <c r="B14" s="137" t="s">
        <v>106</v>
      </c>
      <c r="C14" s="136">
        <v>25545.869924644318</v>
      </c>
    </row>
    <row r="15" spans="1:3" ht="12.75">
      <c r="A15" s="135">
        <v>34366</v>
      </c>
      <c r="C15" s="136">
        <v>28684.579258370104</v>
      </c>
    </row>
    <row r="16" spans="1:3" ht="12.75">
      <c r="A16" s="135">
        <v>34394</v>
      </c>
      <c r="C16" s="136">
        <v>24905.233428112108</v>
      </c>
    </row>
    <row r="17" spans="1:3" ht="12.75">
      <c r="A17" s="135">
        <v>34425</v>
      </c>
      <c r="C17" s="136">
        <v>28630.727023556978</v>
      </c>
    </row>
    <row r="18" spans="1:3" ht="12.75">
      <c r="A18" s="135">
        <v>34455</v>
      </c>
      <c r="C18" s="136">
        <v>27328.1478670465</v>
      </c>
    </row>
    <row r="19" spans="1:3" ht="12.75">
      <c r="A19" s="135">
        <v>34486</v>
      </c>
      <c r="C19" s="136">
        <v>21210.087134868412</v>
      </c>
    </row>
    <row r="20" spans="1:3" ht="12.75">
      <c r="A20" s="135">
        <v>34516</v>
      </c>
      <c r="C20" s="136">
        <v>19716.879561653117</v>
      </c>
    </row>
    <row r="21" spans="1:3" ht="12.75">
      <c r="A21" s="135">
        <v>34547</v>
      </c>
      <c r="C21" s="136">
        <v>19836.772140524416</v>
      </c>
    </row>
    <row r="22" spans="1:3" ht="12.75">
      <c r="A22" s="135">
        <v>34578</v>
      </c>
      <c r="C22" s="136">
        <v>20320.82435869896</v>
      </c>
    </row>
    <row r="23" spans="1:3" ht="12.75">
      <c r="A23" s="135">
        <v>34608</v>
      </c>
      <c r="C23" s="136">
        <v>21566.015298125618</v>
      </c>
    </row>
    <row r="24" spans="1:3" ht="12.75">
      <c r="A24" s="135">
        <v>34639</v>
      </c>
      <c r="C24" s="136">
        <v>22752.405554301575</v>
      </c>
    </row>
    <row r="25" spans="1:3" ht="12.75">
      <c r="A25" s="135">
        <v>34669</v>
      </c>
      <c r="C25" s="136">
        <v>23367.444444444445</v>
      </c>
    </row>
    <row r="26" spans="1:3" ht="12.75">
      <c r="A26" s="135">
        <v>34700</v>
      </c>
      <c r="B26" s="137" t="s">
        <v>107</v>
      </c>
      <c r="C26" s="136">
        <v>23413.188592448296</v>
      </c>
    </row>
    <row r="27" spans="1:3" ht="12.75">
      <c r="A27" s="135">
        <v>34731</v>
      </c>
      <c r="C27" s="136">
        <v>22305.470175430964</v>
      </c>
    </row>
    <row r="28" spans="1:3" ht="12.75">
      <c r="A28" s="135">
        <v>34759</v>
      </c>
      <c r="C28" s="136">
        <v>22250.651724135238</v>
      </c>
    </row>
    <row r="29" spans="1:3" ht="12.75">
      <c r="A29" s="135">
        <v>34790</v>
      </c>
      <c r="C29" s="136">
        <v>22293.554155493253</v>
      </c>
    </row>
    <row r="30" spans="1:3" ht="12.75">
      <c r="A30" s="135">
        <v>34820</v>
      </c>
      <c r="C30" s="136">
        <v>20730.009668994477</v>
      </c>
    </row>
    <row r="31" spans="1:3" ht="12.75">
      <c r="A31" s="135">
        <v>34851</v>
      </c>
      <c r="C31" s="136">
        <v>18528.851050790756</v>
      </c>
    </row>
    <row r="32" spans="1:3" ht="12.75">
      <c r="A32" s="135">
        <v>34881</v>
      </c>
      <c r="C32" s="136">
        <v>16027.266522865288</v>
      </c>
    </row>
    <row r="33" spans="1:3" ht="12.75">
      <c r="A33" s="135">
        <v>34912</v>
      </c>
      <c r="C33" s="136">
        <v>15354.625669836534</v>
      </c>
    </row>
    <row r="34" spans="1:3" ht="12.75">
      <c r="A34" s="135">
        <v>34943</v>
      </c>
      <c r="C34" s="136">
        <v>16287.321243528953</v>
      </c>
    </row>
    <row r="35" spans="1:3" ht="12.75">
      <c r="A35" s="135">
        <v>34973</v>
      </c>
      <c r="C35" s="136">
        <v>17906.250000009313</v>
      </c>
    </row>
    <row r="36" spans="1:3" ht="12.75">
      <c r="A36" s="135">
        <v>35004</v>
      </c>
      <c r="C36" s="136">
        <v>19022.708299097925</v>
      </c>
    </row>
    <row r="37" spans="1:3" ht="12.75">
      <c r="A37" s="135">
        <v>35034</v>
      </c>
      <c r="C37" s="136">
        <v>20557.58234830061</v>
      </c>
    </row>
    <row r="38" spans="1:3" ht="12.75">
      <c r="A38" s="135">
        <v>35065</v>
      </c>
      <c r="B38" s="137" t="s">
        <v>108</v>
      </c>
      <c r="C38" s="136">
        <v>21667.258823524615</v>
      </c>
    </row>
    <row r="39" spans="1:3" ht="12.75">
      <c r="A39" s="135">
        <v>35096</v>
      </c>
      <c r="C39" s="136">
        <v>23395.5509486984</v>
      </c>
    </row>
    <row r="40" spans="1:3" ht="12.75">
      <c r="A40" s="135">
        <v>35125</v>
      </c>
      <c r="C40" s="136">
        <v>26118.605964913808</v>
      </c>
    </row>
    <row r="41" spans="1:3" ht="12.75">
      <c r="A41" s="135">
        <v>35156</v>
      </c>
      <c r="C41" s="136">
        <v>27017.149216524216</v>
      </c>
    </row>
    <row r="42" spans="1:3" ht="12.75">
      <c r="A42" s="135">
        <v>35186</v>
      </c>
      <c r="C42" s="136">
        <v>24759.77499999694</v>
      </c>
    </row>
    <row r="43" spans="1:3" ht="12.75">
      <c r="A43" s="135">
        <v>35217</v>
      </c>
      <c r="C43" s="136">
        <v>20324.638115628586</v>
      </c>
    </row>
    <row r="44" spans="1:3" ht="12.75">
      <c r="A44" s="135">
        <v>35247</v>
      </c>
      <c r="C44" s="136">
        <v>17573.284671532845</v>
      </c>
    </row>
    <row r="45" spans="1:3" ht="12.75">
      <c r="A45" s="135">
        <v>35278</v>
      </c>
      <c r="C45" s="136">
        <v>16355.957509160695</v>
      </c>
    </row>
    <row r="46" spans="1:3" ht="12.75">
      <c r="A46" s="135">
        <v>35309</v>
      </c>
      <c r="C46" s="136">
        <v>15906.890988375255</v>
      </c>
    </row>
    <row r="47" spans="1:3" ht="12.75">
      <c r="A47" s="135">
        <v>35339</v>
      </c>
      <c r="C47" s="136">
        <v>15146.132564844629</v>
      </c>
    </row>
    <row r="48" spans="1:3" ht="12.75">
      <c r="A48" s="135">
        <v>35370</v>
      </c>
      <c r="C48" s="136">
        <v>14237.787835929526</v>
      </c>
    </row>
    <row r="49" spans="1:3" ht="12.75">
      <c r="A49" s="135">
        <v>35400</v>
      </c>
      <c r="C49" s="136">
        <v>14856.621160409555</v>
      </c>
    </row>
    <row r="50" spans="1:3" ht="12.75">
      <c r="A50" s="135">
        <v>35431</v>
      </c>
      <c r="B50" s="137" t="s">
        <v>109</v>
      </c>
      <c r="C50" s="136">
        <v>16096.61766602052</v>
      </c>
    </row>
    <row r="51" spans="1:3" ht="12.75">
      <c r="A51" s="135">
        <v>35462</v>
      </c>
      <c r="C51" s="136">
        <v>17714.547930820954</v>
      </c>
    </row>
    <row r="52" spans="1:3" ht="12.75">
      <c r="A52" s="135">
        <v>35490</v>
      </c>
      <c r="C52" s="136">
        <v>18415.29379104945</v>
      </c>
    </row>
    <row r="53" spans="1:3" ht="12.75">
      <c r="A53" s="135">
        <v>35521</v>
      </c>
      <c r="C53" s="136">
        <v>19209.941130018233</v>
      </c>
    </row>
    <row r="54" spans="1:3" ht="12.75">
      <c r="A54" s="135">
        <v>35551</v>
      </c>
      <c r="C54" s="136">
        <v>18842.504897224913</v>
      </c>
    </row>
    <row r="55" spans="1:3" ht="12.75">
      <c r="A55" s="135">
        <v>35582</v>
      </c>
      <c r="C55" s="136">
        <v>18972.42250153627</v>
      </c>
    </row>
    <row r="56" spans="1:3" ht="12.75">
      <c r="A56" s="135">
        <v>35612</v>
      </c>
      <c r="C56" s="136">
        <v>19074.832156134635</v>
      </c>
    </row>
    <row r="57" spans="1:3" ht="12.75">
      <c r="A57" s="135">
        <v>35643</v>
      </c>
      <c r="C57" s="136">
        <v>19168.41645885287</v>
      </c>
    </row>
    <row r="58" spans="1:3" ht="12.75">
      <c r="A58" s="135">
        <v>35674</v>
      </c>
      <c r="C58" s="136">
        <v>19197.72090112368</v>
      </c>
    </row>
    <row r="59" spans="1:3" ht="12.75">
      <c r="A59" s="135">
        <v>35704</v>
      </c>
      <c r="C59" s="136">
        <v>19263.732420656906</v>
      </c>
    </row>
    <row r="60" spans="1:3" ht="12.75">
      <c r="A60" s="135">
        <v>35735</v>
      </c>
      <c r="C60" s="136">
        <v>19939.27473878304</v>
      </c>
    </row>
    <row r="61" spans="1:3" ht="12.75">
      <c r="A61" s="135">
        <v>35765</v>
      </c>
      <c r="C61" s="136">
        <v>19394.674556213016</v>
      </c>
    </row>
    <row r="62" spans="1:3" ht="12.75">
      <c r="A62" s="135">
        <v>35796</v>
      </c>
      <c r="B62" s="137" t="s">
        <v>110</v>
      </c>
      <c r="C62" s="136">
        <v>18668.718522663683</v>
      </c>
    </row>
    <row r="63" spans="1:3" ht="12.75">
      <c r="A63" s="135">
        <v>35827</v>
      </c>
      <c r="C63" s="136">
        <v>17965.036618199058</v>
      </c>
    </row>
    <row r="64" spans="1:3" ht="12.75">
      <c r="A64" s="135">
        <v>35855</v>
      </c>
      <c r="C64" s="136">
        <v>17785.59083728507</v>
      </c>
    </row>
    <row r="65" spans="1:3" ht="12.75">
      <c r="A65" s="135">
        <v>35886</v>
      </c>
      <c r="C65" s="136">
        <v>17545.181866957457</v>
      </c>
    </row>
    <row r="66" spans="1:3" ht="12.75">
      <c r="A66" s="135">
        <v>35916</v>
      </c>
      <c r="C66" s="136">
        <v>15321.06602255129</v>
      </c>
    </row>
    <row r="67" spans="1:3" ht="12.75">
      <c r="A67" s="135">
        <v>35947</v>
      </c>
      <c r="C67" s="136">
        <v>13744.12691466559</v>
      </c>
    </row>
    <row r="68" spans="1:5" ht="12.75">
      <c r="A68" s="135">
        <v>35977</v>
      </c>
      <c r="C68" s="136">
        <v>13049.331184576118</v>
      </c>
      <c r="D68" s="139"/>
      <c r="E68" s="139"/>
    </row>
    <row r="69" spans="1:3" ht="12.75">
      <c r="A69" s="135">
        <v>36008</v>
      </c>
      <c r="C69" s="136">
        <v>14509.954499999518</v>
      </c>
    </row>
    <row r="70" spans="1:3" ht="12.75">
      <c r="A70" s="135">
        <v>36039</v>
      </c>
      <c r="C70" s="136">
        <v>16102.353850445945</v>
      </c>
    </row>
    <row r="71" spans="1:3" ht="12.75">
      <c r="A71" s="135">
        <v>36069</v>
      </c>
      <c r="C71" s="136">
        <v>16986.149584487535</v>
      </c>
    </row>
    <row r="72" spans="1:3" ht="12.75">
      <c r="A72" s="135">
        <v>36100</v>
      </c>
      <c r="C72" s="136">
        <v>21633.45394736842</v>
      </c>
    </row>
    <row r="73" spans="1:3" ht="12.75">
      <c r="A73" s="135">
        <v>36130</v>
      </c>
      <c r="C73" s="136">
        <v>25394.68085106383</v>
      </c>
    </row>
    <row r="74" spans="1:3" ht="12.75">
      <c r="A74" s="135">
        <v>36161</v>
      </c>
      <c r="B74" s="137" t="s">
        <v>111</v>
      </c>
      <c r="C74" s="136">
        <v>24258.46153846154</v>
      </c>
    </row>
    <row r="75" spans="1:7" ht="12.75">
      <c r="A75" s="135">
        <v>36192</v>
      </c>
      <c r="C75" s="136">
        <v>22011.778989098115</v>
      </c>
      <c r="G75" s="140"/>
    </row>
    <row r="76" spans="1:3" ht="12.75">
      <c r="A76" s="135">
        <v>36220</v>
      </c>
      <c r="C76" s="136">
        <v>25143.659244917715</v>
      </c>
    </row>
    <row r="77" spans="1:3" ht="12.75">
      <c r="A77" s="135">
        <v>36251</v>
      </c>
      <c r="C77" s="136">
        <v>23302.463054187192</v>
      </c>
    </row>
    <row r="78" spans="1:3" ht="12.75">
      <c r="A78" s="135">
        <v>36281</v>
      </c>
      <c r="C78" s="136">
        <v>19409.880834160875</v>
      </c>
    </row>
    <row r="79" spans="1:3" ht="12.75">
      <c r="A79" s="135">
        <v>36312</v>
      </c>
      <c r="C79" s="136">
        <v>19054.557926829268</v>
      </c>
    </row>
    <row r="80" spans="1:3" ht="12.75">
      <c r="A80" s="135">
        <v>36342</v>
      </c>
      <c r="C80" s="136">
        <v>17268.81720430107</v>
      </c>
    </row>
    <row r="81" spans="1:3" ht="12.75">
      <c r="A81" s="135">
        <v>36373</v>
      </c>
      <c r="C81" s="136">
        <v>15694.8111743404</v>
      </c>
    </row>
    <row r="82" spans="1:3" ht="12.75">
      <c r="A82" s="135">
        <v>36404</v>
      </c>
      <c r="C82" s="136">
        <v>15383.52574102964</v>
      </c>
    </row>
    <row r="83" spans="1:3" ht="12.75">
      <c r="A83" s="135">
        <v>36434</v>
      </c>
      <c r="C83" s="136">
        <v>14673.340238218538</v>
      </c>
    </row>
    <row r="84" spans="1:3" ht="12.75">
      <c r="A84" s="135">
        <v>36465</v>
      </c>
      <c r="C84" s="136">
        <v>13135.514592933947</v>
      </c>
    </row>
    <row r="85" spans="1:3" ht="12.75">
      <c r="A85" s="135">
        <v>36495</v>
      </c>
      <c r="C85" s="136">
        <v>12537.18597505874</v>
      </c>
    </row>
    <row r="86" spans="1:3" ht="12.75">
      <c r="A86" s="135">
        <v>36526</v>
      </c>
      <c r="B86" s="137" t="s">
        <v>112</v>
      </c>
      <c r="C86" s="136">
        <v>14409.127366057106</v>
      </c>
    </row>
    <row r="87" spans="1:3" ht="12.75">
      <c r="A87" s="135">
        <v>36557</v>
      </c>
      <c r="C87" s="136">
        <v>12959.14085914086</v>
      </c>
    </row>
    <row r="88" spans="1:3" ht="12.75">
      <c r="A88" s="135">
        <v>36586</v>
      </c>
      <c r="C88" s="136">
        <v>12626.937101185049</v>
      </c>
    </row>
    <row r="89" spans="1:3" ht="12.75">
      <c r="A89" s="135">
        <v>36617</v>
      </c>
      <c r="C89" s="136">
        <v>12593.517657992565</v>
      </c>
    </row>
    <row r="90" spans="1:3" ht="12.75">
      <c r="A90" s="135">
        <v>36647</v>
      </c>
      <c r="C90" s="136">
        <v>14327.914353687549</v>
      </c>
    </row>
    <row r="91" spans="1:3" ht="12.75">
      <c r="A91" s="135">
        <v>36678</v>
      </c>
      <c r="C91" s="136">
        <v>16638.675623800384</v>
      </c>
    </row>
    <row r="92" spans="1:3" ht="12.75">
      <c r="A92" s="135">
        <v>36708</v>
      </c>
      <c r="C92" s="136">
        <v>14928.606001936108</v>
      </c>
    </row>
    <row r="93" spans="1:3" ht="12.75">
      <c r="A93" s="135">
        <v>36739</v>
      </c>
      <c r="C93" s="136">
        <v>15708.234496780753</v>
      </c>
    </row>
    <row r="94" spans="1:3" ht="12.75">
      <c r="A94" s="135">
        <v>36770</v>
      </c>
      <c r="C94" s="136">
        <v>15851.993110236222</v>
      </c>
    </row>
    <row r="95" spans="1:3" ht="12.75">
      <c r="A95" s="135">
        <v>36800</v>
      </c>
      <c r="C95" s="136">
        <v>14203.37738619677</v>
      </c>
    </row>
    <row r="96" spans="1:3" ht="12.75">
      <c r="A96" s="135">
        <v>36831</v>
      </c>
      <c r="C96" s="136">
        <v>13868.504376978954</v>
      </c>
    </row>
    <row r="97" spans="1:3" ht="12.75">
      <c r="A97" s="135">
        <v>36861</v>
      </c>
      <c r="C97" s="136">
        <v>16168.70876531574</v>
      </c>
    </row>
    <row r="98" spans="1:3" ht="12.75">
      <c r="A98" s="135">
        <v>36892</v>
      </c>
      <c r="B98" s="137" t="s">
        <v>113</v>
      </c>
      <c r="C98" s="136">
        <v>17000</v>
      </c>
    </row>
    <row r="99" spans="1:3" ht="12.75">
      <c r="A99" s="135">
        <v>36923</v>
      </c>
      <c r="C99" s="136">
        <v>15912.68086181841</v>
      </c>
    </row>
    <row r="100" spans="1:3" ht="12.75">
      <c r="A100" s="135">
        <v>36951</v>
      </c>
      <c r="C100" s="136">
        <v>14441.64859002169</v>
      </c>
    </row>
    <row r="101" spans="1:3" ht="12.75">
      <c r="A101" s="135">
        <v>36982</v>
      </c>
      <c r="C101" s="136">
        <v>15939.567710630792</v>
      </c>
    </row>
    <row r="102" spans="1:3" ht="12.75">
      <c r="A102" s="135">
        <v>37012</v>
      </c>
      <c r="C102" s="136">
        <v>13969.737427681355</v>
      </c>
    </row>
    <row r="103" spans="1:3" ht="12.75">
      <c r="A103" s="135">
        <v>37043</v>
      </c>
      <c r="C103" s="136">
        <v>10453.560018256505</v>
      </c>
    </row>
    <row r="104" spans="1:3" ht="12.75">
      <c r="A104" s="135">
        <v>37073</v>
      </c>
      <c r="C104" s="136">
        <v>9246.89083371718</v>
      </c>
    </row>
    <row r="105" spans="1:3" ht="12.75">
      <c r="A105" s="135">
        <v>37104</v>
      </c>
      <c r="C105" s="136">
        <v>9367.68443283101</v>
      </c>
    </row>
    <row r="106" spans="1:3" ht="12.75">
      <c r="A106" s="135">
        <v>37135</v>
      </c>
      <c r="C106" s="136">
        <v>9791.432584269663</v>
      </c>
    </row>
    <row r="107" spans="1:3" ht="12.75">
      <c r="A107" s="135">
        <v>37165</v>
      </c>
      <c r="C107" s="136">
        <v>9784.382284382285</v>
      </c>
    </row>
    <row r="108" spans="1:3" ht="12.75">
      <c r="A108" s="135">
        <v>37196</v>
      </c>
      <c r="C108" s="136">
        <v>10863.496460449373</v>
      </c>
    </row>
    <row r="109" spans="1:3" ht="12.75">
      <c r="A109" s="135">
        <v>37226</v>
      </c>
      <c r="C109" s="136">
        <v>13012.044943820225</v>
      </c>
    </row>
    <row r="110" spans="1:3" ht="12.75">
      <c r="A110" s="135">
        <v>37257</v>
      </c>
      <c r="B110" s="137" t="s">
        <v>114</v>
      </c>
      <c r="C110" s="136">
        <v>16876.443309350354</v>
      </c>
    </row>
    <row r="111" spans="1:3" ht="12.75">
      <c r="A111" s="135">
        <v>37288</v>
      </c>
      <c r="C111" s="136">
        <v>17048.66418610307</v>
      </c>
    </row>
    <row r="112" spans="1:3" ht="12.75">
      <c r="A112" s="135">
        <v>37316</v>
      </c>
      <c r="C112" s="136">
        <v>17197.82409317205</v>
      </c>
    </row>
    <row r="113" spans="1:3" ht="12.75">
      <c r="A113" s="135">
        <v>37347</v>
      </c>
      <c r="C113" s="136">
        <v>15876.575143497372</v>
      </c>
    </row>
    <row r="114" spans="1:3" ht="12.75">
      <c r="A114" s="135">
        <v>37377</v>
      </c>
      <c r="C114" s="136">
        <v>14849.106547729587</v>
      </c>
    </row>
    <row r="115" spans="1:3" ht="12.75">
      <c r="A115" s="135">
        <v>37408</v>
      </c>
      <c r="C115" s="136"/>
    </row>
    <row r="116" spans="1:3" ht="12.75">
      <c r="A116" s="135">
        <v>37438</v>
      </c>
      <c r="C116" s="136"/>
    </row>
    <row r="117" spans="1:3" ht="12.75">
      <c r="A117" s="135">
        <v>37469</v>
      </c>
      <c r="C117" s="136">
        <v>8984.812821703897</v>
      </c>
    </row>
    <row r="118" spans="1:3" ht="12.75">
      <c r="A118" s="135">
        <v>37500</v>
      </c>
      <c r="C118" s="136">
        <v>8893.718345734336</v>
      </c>
    </row>
    <row r="119" spans="1:3" ht="12.75">
      <c r="A119" s="135">
        <v>37530</v>
      </c>
      <c r="C119" s="136"/>
    </row>
    <row r="120" spans="1:3" ht="12.75">
      <c r="A120" s="135">
        <v>37561</v>
      </c>
      <c r="C120" s="136">
        <v>10410.026517328486</v>
      </c>
    </row>
    <row r="121" spans="1:3" ht="12.75">
      <c r="A121" s="135">
        <v>37591</v>
      </c>
      <c r="C121" s="136">
        <v>10559.979261014974</v>
      </c>
    </row>
    <row r="122" spans="1:3" ht="12.75">
      <c r="A122" s="135">
        <v>37622</v>
      </c>
      <c r="B122" s="137" t="s">
        <v>115</v>
      </c>
      <c r="C122" s="136">
        <v>12591.534347953982</v>
      </c>
    </row>
    <row r="123" spans="1:3" ht="12.75">
      <c r="A123" s="135">
        <v>37653</v>
      </c>
      <c r="C123" s="136">
        <v>12929.065937781721</v>
      </c>
    </row>
    <row r="124" spans="1:3" ht="12.75">
      <c r="A124" s="135">
        <v>37681</v>
      </c>
      <c r="C124" s="136">
        <v>14138.600295786713</v>
      </c>
    </row>
    <row r="125" spans="1:3" ht="12.75">
      <c r="A125" s="135">
        <v>37712</v>
      </c>
      <c r="C125" s="136">
        <v>14286.27511858312</v>
      </c>
    </row>
    <row r="126" spans="1:3" ht="12.75">
      <c r="A126" s="135">
        <v>37742</v>
      </c>
      <c r="C126" s="136">
        <v>14518.290606209797</v>
      </c>
    </row>
    <row r="127" spans="1:3" ht="12.75">
      <c r="A127" s="135">
        <v>37773</v>
      </c>
      <c r="C127" s="136">
        <v>15514.58911704939</v>
      </c>
    </row>
    <row r="128" spans="1:3" ht="12.75">
      <c r="A128" s="135">
        <v>37803</v>
      </c>
      <c r="C128" s="136">
        <v>15910.429416510195</v>
      </c>
    </row>
    <row r="129" spans="1:3" ht="12.75">
      <c r="A129" s="135">
        <v>37834</v>
      </c>
      <c r="C129" s="136">
        <v>17146.525570262063</v>
      </c>
    </row>
    <row r="130" spans="1:3" ht="12.75">
      <c r="A130" s="135">
        <v>37865</v>
      </c>
      <c r="C130" s="136">
        <v>17042.117920806664</v>
      </c>
    </row>
    <row r="131" spans="1:3" ht="12.75">
      <c r="A131" s="135">
        <v>37895</v>
      </c>
      <c r="C131" s="136">
        <v>16907.194928852154</v>
      </c>
    </row>
    <row r="132" spans="1:3" ht="12.75">
      <c r="A132" s="135">
        <v>37926</v>
      </c>
      <c r="C132" s="136">
        <v>16148.275135152608</v>
      </c>
    </row>
    <row r="133" spans="1:3" ht="12.75">
      <c r="A133" s="135">
        <v>37956</v>
      </c>
      <c r="C133" s="136">
        <v>19164.0362660654</v>
      </c>
    </row>
    <row r="134" spans="1:3" ht="12.75">
      <c r="A134" s="135">
        <v>37987</v>
      </c>
      <c r="B134" s="137" t="s">
        <v>116</v>
      </c>
      <c r="C134" s="136">
        <v>25640.75522748132</v>
      </c>
    </row>
    <row r="135" spans="1:3" ht="12.75">
      <c r="A135" s="135">
        <v>38018</v>
      </c>
      <c r="C135" s="136">
        <v>23070.715179987008</v>
      </c>
    </row>
    <row r="136" spans="1:3" ht="12.75">
      <c r="A136" s="135">
        <v>38047</v>
      </c>
      <c r="C136" s="136">
        <v>23203.649961812964</v>
      </c>
    </row>
    <row r="137" spans="1:3" ht="12.75">
      <c r="A137" s="135">
        <v>38078</v>
      </c>
      <c r="C137" s="136">
        <v>20569.57642805246</v>
      </c>
    </row>
    <row r="138" spans="1:3" ht="12.75">
      <c r="A138" s="135">
        <v>38108</v>
      </c>
      <c r="C138" s="136">
        <v>14558.847675436073</v>
      </c>
    </row>
    <row r="139" spans="1:3" ht="12.75">
      <c r="A139" s="135">
        <v>38139</v>
      </c>
      <c r="C139" s="136">
        <v>11262.21792332381</v>
      </c>
    </row>
    <row r="140" spans="1:3" ht="12.75">
      <c r="A140" s="135">
        <v>38169</v>
      </c>
      <c r="C140" s="136">
        <v>11652.71691609045</v>
      </c>
    </row>
    <row r="141" spans="1:3" ht="12.75">
      <c r="A141" s="135">
        <v>38200</v>
      </c>
      <c r="C141" s="136">
        <v>14545.885514720894</v>
      </c>
    </row>
    <row r="142" spans="1:3" ht="12.75">
      <c r="A142" s="135">
        <v>38231</v>
      </c>
      <c r="C142" s="136">
        <v>15259.717655355478</v>
      </c>
    </row>
    <row r="143" spans="1:3" ht="12.75">
      <c r="A143" s="135">
        <v>38261</v>
      </c>
      <c r="C143" s="136">
        <v>15331.934027923258</v>
      </c>
    </row>
    <row r="144" spans="1:3" ht="12.75">
      <c r="A144" s="135">
        <v>38292</v>
      </c>
      <c r="C144" s="136">
        <v>14609.24819064937</v>
      </c>
    </row>
    <row r="145" spans="1:3" ht="12.75">
      <c r="A145" s="135">
        <v>38322</v>
      </c>
      <c r="C145" s="136">
        <v>13699.3560768494</v>
      </c>
    </row>
    <row r="146" spans="1:3" ht="12.75">
      <c r="A146" s="135">
        <v>38353</v>
      </c>
      <c r="B146" s="137" t="s">
        <v>117</v>
      </c>
      <c r="C146" s="136">
        <v>13450.661667508351</v>
      </c>
    </row>
    <row r="147" spans="1:3" ht="12.75">
      <c r="A147" s="135">
        <v>38384</v>
      </c>
      <c r="C147" s="136">
        <v>12974.06660638686</v>
      </c>
    </row>
    <row r="148" spans="1:3" ht="12.75">
      <c r="A148" s="135">
        <v>38412</v>
      </c>
      <c r="C148" s="136">
        <v>14074.965601878124</v>
      </c>
    </row>
    <row r="149" spans="1:3" ht="12.75">
      <c r="A149" s="135">
        <v>38443</v>
      </c>
      <c r="C149" s="136">
        <v>13475.608678288376</v>
      </c>
    </row>
    <row r="150" spans="1:3" ht="12.75">
      <c r="A150" s="135">
        <v>38473</v>
      </c>
      <c r="C150" s="136">
        <v>14048.59360431493</v>
      </c>
    </row>
    <row r="151" spans="1:3" ht="12.75">
      <c r="A151" s="135">
        <v>38504</v>
      </c>
      <c r="C151" s="136">
        <v>14560.575377054789</v>
      </c>
    </row>
    <row r="152" spans="1:3" ht="12.75">
      <c r="A152" s="135">
        <v>38534</v>
      </c>
      <c r="C152" s="136">
        <v>14216.314261862124</v>
      </c>
    </row>
    <row r="153" spans="1:3" ht="12.75">
      <c r="A153" s="135">
        <v>38565</v>
      </c>
      <c r="C153" s="136">
        <v>12916.148888004242</v>
      </c>
    </row>
    <row r="154" spans="1:3" ht="12.75">
      <c r="A154" s="135">
        <v>38596</v>
      </c>
      <c r="C154" s="136">
        <v>12858.098745149466</v>
      </c>
    </row>
    <row r="155" spans="1:3" ht="12.75">
      <c r="A155" s="135">
        <v>38626</v>
      </c>
      <c r="C155" s="136">
        <v>13323.63672582988</v>
      </c>
    </row>
    <row r="156" spans="1:3" ht="12.75">
      <c r="A156" s="135">
        <v>38657</v>
      </c>
      <c r="C156" s="136">
        <v>14199.425518325452</v>
      </c>
    </row>
    <row r="157" spans="1:3" ht="12.75">
      <c r="A157" s="135">
        <v>38687</v>
      </c>
      <c r="C157" s="136">
        <v>17122.735961228285</v>
      </c>
    </row>
    <row r="158" spans="1:3" ht="12.75">
      <c r="A158" s="135">
        <v>38718</v>
      </c>
      <c r="B158" s="137" t="s">
        <v>118</v>
      </c>
      <c r="C158" s="136">
        <v>22739.56143479785</v>
      </c>
    </row>
    <row r="159" spans="1:3" ht="12.75">
      <c r="A159" s="135">
        <v>38749</v>
      </c>
      <c r="C159" s="136">
        <v>24276.322483737258</v>
      </c>
    </row>
    <row r="160" spans="1:3" ht="12.75">
      <c r="A160" s="135">
        <v>38777</v>
      </c>
      <c r="C160" s="136">
        <v>23666.116125527074</v>
      </c>
    </row>
    <row r="161" spans="1:3" ht="12.75">
      <c r="A161" s="135">
        <v>38808</v>
      </c>
      <c r="C161" s="136">
        <v>23852.73501317179</v>
      </c>
    </row>
    <row r="162" spans="1:3" ht="12.75">
      <c r="A162" s="135">
        <v>38838</v>
      </c>
      <c r="C162" s="136">
        <v>21491.86741565446</v>
      </c>
    </row>
    <row r="163" spans="1:3" ht="12.75">
      <c r="A163" s="135">
        <v>38869</v>
      </c>
      <c r="C163" s="136">
        <v>22417.45170259275</v>
      </c>
    </row>
    <row r="164" spans="1:3" ht="12.75">
      <c r="A164" s="135">
        <v>38899</v>
      </c>
      <c r="C164" s="136">
        <v>21736.728352938146</v>
      </c>
    </row>
    <row r="165" spans="1:3" ht="12.75">
      <c r="A165" s="135">
        <v>38930</v>
      </c>
      <c r="C165" s="136">
        <v>20964.368581852646</v>
      </c>
    </row>
    <row r="166" spans="1:3" ht="12.75">
      <c r="A166" s="135">
        <v>38961</v>
      </c>
      <c r="C166" s="136">
        <v>14111.71875</v>
      </c>
    </row>
    <row r="167" spans="1:3" ht="12.75">
      <c r="A167" s="135">
        <v>38991</v>
      </c>
      <c r="C167" s="136">
        <v>14246.153846153846</v>
      </c>
    </row>
    <row r="168" spans="1:3" ht="12.75">
      <c r="A168" s="135">
        <v>39022</v>
      </c>
      <c r="C168" s="136">
        <v>12533.943554538522</v>
      </c>
    </row>
    <row r="169" spans="1:3" ht="12.75">
      <c r="A169" s="135">
        <v>39052</v>
      </c>
      <c r="C169" s="136">
        <v>11886.980333582274</v>
      </c>
    </row>
    <row r="170" spans="1:3" ht="12.75">
      <c r="A170" s="135">
        <v>39083</v>
      </c>
      <c r="B170" s="137" t="s">
        <v>119</v>
      </c>
      <c r="C170" s="136">
        <v>15265.291083271924</v>
      </c>
    </row>
    <row r="171" spans="1:3" ht="12.75">
      <c r="A171" s="135">
        <v>39114</v>
      </c>
      <c r="C171" s="136">
        <v>12709.91253644315</v>
      </c>
    </row>
    <row r="172" spans="1:3" ht="12.75">
      <c r="A172" s="135">
        <v>39142</v>
      </c>
      <c r="C172" s="136">
        <v>11952.966714905935</v>
      </c>
    </row>
    <row r="173" spans="1:3" ht="12.75">
      <c r="A173" s="135">
        <v>39173</v>
      </c>
      <c r="C173" s="136">
        <v>11012.309920347574</v>
      </c>
    </row>
    <row r="174" spans="1:3" ht="12.75">
      <c r="A174" s="135">
        <v>39203</v>
      </c>
      <c r="C174" s="136">
        <v>11046.436285097192</v>
      </c>
    </row>
    <row r="175" spans="1:3" ht="12.75">
      <c r="A175" s="135">
        <v>39234</v>
      </c>
      <c r="C175" s="136">
        <v>10881.294964028777</v>
      </c>
    </row>
    <row r="176" spans="1:3" ht="12.75">
      <c r="A176" s="135">
        <v>39264</v>
      </c>
      <c r="C176" s="136">
        <v>10987.239396117902</v>
      </c>
    </row>
    <row r="177" spans="1:3" ht="12.75">
      <c r="A177" s="135">
        <v>39295</v>
      </c>
      <c r="C177" s="136">
        <v>11694.484760522495</v>
      </c>
    </row>
    <row r="178" spans="1:3" ht="12.75">
      <c r="A178" s="135">
        <v>39326</v>
      </c>
      <c r="C178" s="136">
        <v>15752.525252525254</v>
      </c>
    </row>
    <row r="179" spans="1:3" ht="12.75">
      <c r="A179" s="135">
        <v>39356</v>
      </c>
      <c r="C179" s="136">
        <v>17972.701149425287</v>
      </c>
    </row>
    <row r="180" spans="1:3" ht="12.75">
      <c r="A180" s="135">
        <v>39387</v>
      </c>
      <c r="C180" s="136">
        <v>19832.26723525231</v>
      </c>
    </row>
    <row r="181" spans="1:3" ht="12.75">
      <c r="A181" s="135">
        <v>39417</v>
      </c>
      <c r="C181" s="136">
        <v>21441.40350877193</v>
      </c>
    </row>
    <row r="182" spans="1:3" ht="12.75">
      <c r="A182" s="135">
        <v>39448</v>
      </c>
      <c r="B182" s="137" t="s">
        <v>120</v>
      </c>
      <c r="C182" s="136">
        <v>24546.132971506104</v>
      </c>
    </row>
    <row r="183" spans="1:3" ht="12.75">
      <c r="A183" s="135">
        <v>39479</v>
      </c>
      <c r="C183" s="136">
        <v>26178.714859437754</v>
      </c>
    </row>
    <row r="184" spans="1:3" ht="12.75">
      <c r="A184" s="135">
        <v>39508</v>
      </c>
      <c r="C184" s="136">
        <v>25696.748506967488</v>
      </c>
    </row>
    <row r="185" spans="1:3" ht="12.75">
      <c r="A185" s="135">
        <v>39539</v>
      </c>
      <c r="C185" s="136">
        <v>24524.556033817524</v>
      </c>
    </row>
    <row r="186" spans="1:3" ht="12.75">
      <c r="A186" s="135">
        <v>39569</v>
      </c>
      <c r="C186" s="136">
        <v>24129.814122136468</v>
      </c>
    </row>
    <row r="187" spans="1:3" ht="12.75">
      <c r="A187" s="135">
        <v>39600</v>
      </c>
      <c r="C187" s="136">
        <v>22341.827472601362</v>
      </c>
    </row>
    <row r="188" spans="1:3" ht="12.75">
      <c r="A188" s="135">
        <v>39630</v>
      </c>
      <c r="C188" s="136">
        <v>19958.2562741762</v>
      </c>
    </row>
    <row r="189" spans="1:3" ht="12.75">
      <c r="A189" s="135">
        <v>39661</v>
      </c>
      <c r="C189" s="136">
        <v>19559.59724238026</v>
      </c>
    </row>
    <row r="190" spans="1:3" ht="12.75">
      <c r="A190" s="135">
        <v>39692</v>
      </c>
      <c r="C190" s="136">
        <v>19567.23506019281</v>
      </c>
    </row>
    <row r="191" spans="1:3" ht="12.75">
      <c r="A191" s="135">
        <v>39722</v>
      </c>
      <c r="C191" s="136">
        <v>25464.814614636263</v>
      </c>
    </row>
    <row r="192" spans="1:3" ht="12.75">
      <c r="A192" s="135">
        <v>39753</v>
      </c>
      <c r="C192" s="136">
        <v>24176.49362516862</v>
      </c>
    </row>
    <row r="193" spans="1:3" ht="12.75">
      <c r="A193" s="135">
        <v>39783</v>
      </c>
      <c r="C193" s="136">
        <v>26773.09387212106</v>
      </c>
    </row>
    <row r="194" spans="1:3" ht="12.75">
      <c r="A194" s="135">
        <v>39814</v>
      </c>
      <c r="B194" s="137" t="s">
        <v>121</v>
      </c>
      <c r="C194" s="136">
        <v>26975.356327803882</v>
      </c>
    </row>
    <row r="195" spans="1:3" ht="12.75">
      <c r="A195" s="135">
        <v>39845</v>
      </c>
      <c r="C195" s="136">
        <v>25542.168674698794</v>
      </c>
    </row>
    <row r="196" ht="12.75">
      <c r="C196" s="136"/>
    </row>
    <row r="197" ht="12.75">
      <c r="C197" s="136"/>
    </row>
  </sheetData>
  <sheetProtection sheet="1"/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3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9.140625" style="61" customWidth="1"/>
    <col min="2" max="2" width="15.7109375" style="61" customWidth="1"/>
    <col min="3" max="16384" width="9.140625" style="61" customWidth="1"/>
  </cols>
  <sheetData>
    <row r="1" ht="22.5" customHeight="1">
      <c r="A1" s="60" t="s">
        <v>103</v>
      </c>
    </row>
    <row r="3" spans="2:7" ht="14.25">
      <c r="B3" s="149" t="s">
        <v>96</v>
      </c>
      <c r="C3" s="127">
        <v>150</v>
      </c>
      <c r="E3" s="61" t="s">
        <v>97</v>
      </c>
      <c r="G3" s="63">
        <f>AVERAGE(B8:B203)</f>
        <v>148.75396164740573</v>
      </c>
    </row>
    <row r="4" spans="2:7" ht="14.25">
      <c r="B4" s="149" t="s">
        <v>98</v>
      </c>
      <c r="C4" s="127">
        <v>15</v>
      </c>
      <c r="E4" s="61" t="s">
        <v>99</v>
      </c>
      <c r="G4" s="63">
        <f>STDEV(B8:B203)</f>
        <v>14.891493802079003</v>
      </c>
    </row>
    <row r="5" spans="2:7" ht="14.25">
      <c r="B5" s="61" t="s">
        <v>100</v>
      </c>
      <c r="C5" s="64">
        <f>C4/C3</f>
        <v>0.1</v>
      </c>
      <c r="E5" s="61" t="s">
        <v>101</v>
      </c>
      <c r="G5" s="65">
        <f>G4/G3</f>
        <v>0.10010821652855596</v>
      </c>
    </row>
    <row r="7" ht="14.25">
      <c r="A7" s="61" t="s">
        <v>21</v>
      </c>
    </row>
    <row r="8" spans="1:11" ht="14.25">
      <c r="A8" s="61">
        <v>1</v>
      </c>
      <c r="B8" s="128">
        <f ca="1">NORMINV(RAND(),$C$3,$C$4)</f>
        <v>132.8964273996655</v>
      </c>
      <c r="C8" s="63"/>
      <c r="D8" s="62"/>
      <c r="E8" s="62"/>
      <c r="F8" s="62"/>
      <c r="G8" s="62"/>
      <c r="H8" s="62"/>
      <c r="I8" s="62"/>
      <c r="J8" s="62"/>
      <c r="K8" s="62"/>
    </row>
    <row r="9" spans="1:11" ht="14.25">
      <c r="A9" s="61">
        <f>1+A8</f>
        <v>2</v>
      </c>
      <c r="B9" s="128">
        <f aca="true" ca="1" t="shared" si="0" ref="B9:B72">NORMINV(RAND(),$C$3,$C$4)</f>
        <v>163.05372291753707</v>
      </c>
      <c r="C9" s="63"/>
      <c r="D9" s="62"/>
      <c r="E9" s="62"/>
      <c r="F9" s="62"/>
      <c r="G9" s="62"/>
      <c r="H9" s="62"/>
      <c r="I9" s="62"/>
      <c r="J9" s="62"/>
      <c r="K9" s="62"/>
    </row>
    <row r="10" spans="1:11" ht="14.25">
      <c r="A10" s="61">
        <f aca="true" t="shared" si="1" ref="A10:A73">1+A9</f>
        <v>3</v>
      </c>
      <c r="B10" s="128">
        <f ca="1" t="shared" si="0"/>
        <v>175.01705662339722</v>
      </c>
      <c r="C10" s="63"/>
      <c r="D10" s="62"/>
      <c r="E10" s="62"/>
      <c r="F10" s="62"/>
      <c r="G10" s="62"/>
      <c r="H10" s="62"/>
      <c r="I10" s="62"/>
      <c r="J10" s="62"/>
      <c r="K10" s="62"/>
    </row>
    <row r="11" spans="1:11" ht="14.25">
      <c r="A11" s="61">
        <f t="shared" si="1"/>
        <v>4</v>
      </c>
      <c r="B11" s="128">
        <f ca="1" t="shared" si="0"/>
        <v>143.24858990094634</v>
      </c>
      <c r="C11" s="63"/>
      <c r="D11" s="62"/>
      <c r="E11" s="62"/>
      <c r="F11" s="62"/>
      <c r="G11" s="62"/>
      <c r="H11" s="62"/>
      <c r="I11" s="62"/>
      <c r="J11" s="62"/>
      <c r="K11" s="62"/>
    </row>
    <row r="12" spans="1:11" ht="14.25">
      <c r="A12" s="61">
        <f t="shared" si="1"/>
        <v>5</v>
      </c>
      <c r="B12" s="128">
        <f ca="1" t="shared" si="0"/>
        <v>141.29870198785565</v>
      </c>
      <c r="C12" s="63"/>
      <c r="D12" s="62"/>
      <c r="E12" s="62"/>
      <c r="F12" s="62"/>
      <c r="G12" s="62"/>
      <c r="H12" s="62"/>
      <c r="I12" s="62"/>
      <c r="J12" s="62"/>
      <c r="K12" s="62"/>
    </row>
    <row r="13" spans="1:11" ht="14.25">
      <c r="A13" s="61">
        <f t="shared" si="1"/>
        <v>6</v>
      </c>
      <c r="B13" s="128">
        <f ca="1" t="shared" si="0"/>
        <v>137.6227945921467</v>
      </c>
      <c r="C13" s="63"/>
      <c r="D13" s="62"/>
      <c r="E13" s="62"/>
      <c r="F13" s="62"/>
      <c r="G13" s="62"/>
      <c r="H13" s="62"/>
      <c r="I13" s="62"/>
      <c r="J13" s="62"/>
      <c r="K13" s="62"/>
    </row>
    <row r="14" spans="1:11" ht="14.25">
      <c r="A14" s="61">
        <f t="shared" si="1"/>
        <v>7</v>
      </c>
      <c r="B14" s="128">
        <f ca="1" t="shared" si="0"/>
        <v>136.83439587801115</v>
      </c>
      <c r="C14" s="63"/>
      <c r="D14" s="62"/>
      <c r="E14" s="62"/>
      <c r="F14" s="62"/>
      <c r="G14" s="62"/>
      <c r="H14" s="62"/>
      <c r="I14" s="62"/>
      <c r="J14" s="62"/>
      <c r="K14" s="62"/>
    </row>
    <row r="15" spans="1:11" ht="14.25">
      <c r="A15" s="61">
        <f t="shared" si="1"/>
        <v>8</v>
      </c>
      <c r="B15" s="128">
        <f ca="1" t="shared" si="0"/>
        <v>158.60839496401482</v>
      </c>
      <c r="C15" s="63"/>
      <c r="D15" s="62"/>
      <c r="E15" s="62"/>
      <c r="F15" s="62"/>
      <c r="G15" s="62"/>
      <c r="H15" s="62"/>
      <c r="I15" s="62"/>
      <c r="J15" s="62"/>
      <c r="K15" s="62"/>
    </row>
    <row r="16" spans="1:11" ht="14.25">
      <c r="A16" s="61">
        <f t="shared" si="1"/>
        <v>9</v>
      </c>
      <c r="B16" s="128">
        <f ca="1" t="shared" si="0"/>
        <v>134.90523923655343</v>
      </c>
      <c r="C16" s="63"/>
      <c r="D16" s="62"/>
      <c r="E16" s="62"/>
      <c r="F16" s="62"/>
      <c r="G16" s="62"/>
      <c r="H16" s="62"/>
      <c r="I16" s="62"/>
      <c r="J16" s="62"/>
      <c r="K16" s="62"/>
    </row>
    <row r="17" spans="1:11" ht="14.25">
      <c r="A17" s="61">
        <f t="shared" si="1"/>
        <v>10</v>
      </c>
      <c r="B17" s="128">
        <f ca="1" t="shared" si="0"/>
        <v>152.22686322258951</v>
      </c>
      <c r="C17" s="63"/>
      <c r="D17" s="62"/>
      <c r="E17" s="62"/>
      <c r="F17" s="62"/>
      <c r="G17" s="62"/>
      <c r="H17" s="62"/>
      <c r="I17" s="62"/>
      <c r="J17" s="62"/>
      <c r="K17" s="62"/>
    </row>
    <row r="18" spans="1:11" ht="14.25">
      <c r="A18" s="61">
        <f t="shared" si="1"/>
        <v>11</v>
      </c>
      <c r="B18" s="128">
        <f ca="1" t="shared" si="0"/>
        <v>159.39458199490733</v>
      </c>
      <c r="C18" s="63"/>
      <c r="D18" s="62"/>
      <c r="E18" s="62"/>
      <c r="F18" s="62"/>
      <c r="G18" s="62"/>
      <c r="H18" s="62"/>
      <c r="I18" s="62"/>
      <c r="J18" s="62"/>
      <c r="K18" s="62"/>
    </row>
    <row r="19" spans="1:11" ht="14.25">
      <c r="A19" s="61">
        <f t="shared" si="1"/>
        <v>12</v>
      </c>
      <c r="B19" s="128">
        <f ca="1" t="shared" si="0"/>
        <v>132.30614251715343</v>
      </c>
      <c r="C19" s="63"/>
      <c r="D19" s="62"/>
      <c r="E19" s="62"/>
      <c r="F19" s="62"/>
      <c r="G19" s="62"/>
      <c r="H19" s="62"/>
      <c r="I19" s="62"/>
      <c r="J19" s="62"/>
      <c r="K19" s="62"/>
    </row>
    <row r="20" spans="1:11" ht="14.25">
      <c r="A20" s="61">
        <f t="shared" si="1"/>
        <v>13</v>
      </c>
      <c r="B20" s="128">
        <f ca="1" t="shared" si="0"/>
        <v>151.21539225899545</v>
      </c>
      <c r="C20" s="63"/>
      <c r="D20" s="62"/>
      <c r="E20" s="62"/>
      <c r="F20" s="62"/>
      <c r="G20" s="62"/>
      <c r="H20" s="62"/>
      <c r="I20" s="62"/>
      <c r="J20" s="62"/>
      <c r="K20" s="62"/>
    </row>
    <row r="21" spans="1:11" ht="14.25">
      <c r="A21" s="61">
        <f t="shared" si="1"/>
        <v>14</v>
      </c>
      <c r="B21" s="128">
        <f ca="1" t="shared" si="0"/>
        <v>159.9670340268682</v>
      </c>
      <c r="C21" s="63"/>
      <c r="D21" s="62"/>
      <c r="E21" s="62"/>
      <c r="F21" s="62"/>
      <c r="G21" s="62"/>
      <c r="H21" s="62"/>
      <c r="I21" s="62"/>
      <c r="J21" s="62"/>
      <c r="K21" s="62"/>
    </row>
    <row r="22" spans="1:11" ht="14.25">
      <c r="A22" s="61">
        <f t="shared" si="1"/>
        <v>15</v>
      </c>
      <c r="B22" s="128">
        <f ca="1" t="shared" si="0"/>
        <v>123.26406179037514</v>
      </c>
      <c r="C22" s="63"/>
      <c r="D22" s="62"/>
      <c r="E22" s="62"/>
      <c r="F22" s="62"/>
      <c r="G22" s="62"/>
      <c r="H22" s="62"/>
      <c r="I22" s="62"/>
      <c r="J22" s="62"/>
      <c r="K22" s="62"/>
    </row>
    <row r="23" spans="1:11" ht="14.25">
      <c r="A23" s="61">
        <f t="shared" si="1"/>
        <v>16</v>
      </c>
      <c r="B23" s="128">
        <f ca="1" t="shared" si="0"/>
        <v>114.55413333755041</v>
      </c>
      <c r="C23" s="63"/>
      <c r="D23" s="62"/>
      <c r="E23" s="62"/>
      <c r="F23" s="62"/>
      <c r="G23" s="62"/>
      <c r="H23" s="62"/>
      <c r="I23" s="62"/>
      <c r="J23" s="62"/>
      <c r="K23" s="62"/>
    </row>
    <row r="24" spans="1:3" ht="14.25">
      <c r="A24" s="61">
        <f t="shared" si="1"/>
        <v>17</v>
      </c>
      <c r="B24" s="128">
        <f ca="1" t="shared" si="0"/>
        <v>144.79797410508903</v>
      </c>
      <c r="C24" s="63"/>
    </row>
    <row r="25" spans="1:3" ht="14.25">
      <c r="A25" s="61">
        <f t="shared" si="1"/>
        <v>18</v>
      </c>
      <c r="B25" s="128">
        <f ca="1" t="shared" si="0"/>
        <v>165.69563351599268</v>
      </c>
      <c r="C25" s="63"/>
    </row>
    <row r="26" spans="1:3" ht="14.25">
      <c r="A26" s="61">
        <f t="shared" si="1"/>
        <v>19</v>
      </c>
      <c r="B26" s="128">
        <f ca="1" t="shared" si="0"/>
        <v>146.57605668049</v>
      </c>
      <c r="C26" s="63"/>
    </row>
    <row r="27" spans="1:3" ht="14.25">
      <c r="A27" s="61">
        <f t="shared" si="1"/>
        <v>20</v>
      </c>
      <c r="B27" s="128">
        <f ca="1" t="shared" si="0"/>
        <v>128.810732723514</v>
      </c>
      <c r="C27" s="63"/>
    </row>
    <row r="28" spans="1:3" ht="14.25">
      <c r="A28" s="61">
        <f t="shared" si="1"/>
        <v>21</v>
      </c>
      <c r="B28" s="128">
        <f ca="1" t="shared" si="0"/>
        <v>151.78271163612484</v>
      </c>
      <c r="C28" s="63"/>
    </row>
    <row r="29" spans="1:3" ht="14.25">
      <c r="A29" s="61">
        <f t="shared" si="1"/>
        <v>22</v>
      </c>
      <c r="B29" s="128">
        <f ca="1" t="shared" si="0"/>
        <v>127.02782310142825</v>
      </c>
      <c r="C29" s="63"/>
    </row>
    <row r="30" spans="1:3" ht="14.25">
      <c r="A30" s="61">
        <f t="shared" si="1"/>
        <v>23</v>
      </c>
      <c r="B30" s="128">
        <f ca="1" t="shared" si="0"/>
        <v>148.8925234540612</v>
      </c>
      <c r="C30" s="63"/>
    </row>
    <row r="31" spans="1:3" ht="14.25">
      <c r="A31" s="61">
        <f t="shared" si="1"/>
        <v>24</v>
      </c>
      <c r="B31" s="128">
        <f ca="1" t="shared" si="0"/>
        <v>152.46203625666425</v>
      </c>
      <c r="C31" s="63"/>
    </row>
    <row r="32" spans="1:3" ht="14.25">
      <c r="A32" s="61">
        <f t="shared" si="1"/>
        <v>25</v>
      </c>
      <c r="B32" s="128">
        <f ca="1" t="shared" si="0"/>
        <v>151.0639331452528</v>
      </c>
      <c r="C32" s="63"/>
    </row>
    <row r="33" spans="1:3" ht="14.25">
      <c r="A33" s="61">
        <f t="shared" si="1"/>
        <v>26</v>
      </c>
      <c r="B33" s="128">
        <f ca="1" t="shared" si="0"/>
        <v>159.3806999632543</v>
      </c>
      <c r="C33" s="63"/>
    </row>
    <row r="34" spans="1:3" ht="14.25">
      <c r="A34" s="61">
        <f t="shared" si="1"/>
        <v>27</v>
      </c>
      <c r="B34" s="128">
        <f ca="1" t="shared" si="0"/>
        <v>162.06696628284303</v>
      </c>
      <c r="C34" s="63"/>
    </row>
    <row r="35" spans="1:3" ht="14.25">
      <c r="A35" s="61">
        <f t="shared" si="1"/>
        <v>28</v>
      </c>
      <c r="B35" s="128">
        <f ca="1" t="shared" si="0"/>
        <v>152.07413859472166</v>
      </c>
      <c r="C35" s="63"/>
    </row>
    <row r="36" spans="1:3" ht="14.25">
      <c r="A36" s="61">
        <f t="shared" si="1"/>
        <v>29</v>
      </c>
      <c r="B36" s="128">
        <f ca="1" t="shared" si="0"/>
        <v>136.29839526664674</v>
      </c>
      <c r="C36" s="63"/>
    </row>
    <row r="37" spans="1:3" ht="14.25">
      <c r="A37" s="61">
        <f t="shared" si="1"/>
        <v>30</v>
      </c>
      <c r="B37" s="128">
        <f ca="1" t="shared" si="0"/>
        <v>134.3310702720785</v>
      </c>
      <c r="C37" s="63"/>
    </row>
    <row r="38" spans="1:3" ht="14.25">
      <c r="A38" s="61">
        <f t="shared" si="1"/>
        <v>31</v>
      </c>
      <c r="B38" s="128">
        <f ca="1" t="shared" si="0"/>
        <v>146.4822363115357</v>
      </c>
      <c r="C38" s="63"/>
    </row>
    <row r="39" spans="1:3" ht="14.25">
      <c r="A39" s="61">
        <f t="shared" si="1"/>
        <v>32</v>
      </c>
      <c r="B39" s="128">
        <f ca="1" t="shared" si="0"/>
        <v>148.33059910799824</v>
      </c>
      <c r="C39" s="63"/>
    </row>
    <row r="40" spans="1:3" ht="14.25">
      <c r="A40" s="61">
        <f t="shared" si="1"/>
        <v>33</v>
      </c>
      <c r="B40" s="128">
        <f ca="1" t="shared" si="0"/>
        <v>133.7015385898543</v>
      </c>
      <c r="C40" s="63"/>
    </row>
    <row r="41" spans="1:3" ht="14.25">
      <c r="A41" s="61">
        <f t="shared" si="1"/>
        <v>34</v>
      </c>
      <c r="B41" s="128">
        <f ca="1" t="shared" si="0"/>
        <v>146.18359102665084</v>
      </c>
      <c r="C41" s="63"/>
    </row>
    <row r="42" spans="1:3" ht="14.25">
      <c r="A42" s="61">
        <f t="shared" si="1"/>
        <v>35</v>
      </c>
      <c r="B42" s="128">
        <f ca="1" t="shared" si="0"/>
        <v>159.80806210981052</v>
      </c>
      <c r="C42" s="63"/>
    </row>
    <row r="43" spans="1:3" ht="14.25">
      <c r="A43" s="61">
        <f t="shared" si="1"/>
        <v>36</v>
      </c>
      <c r="B43" s="128">
        <f ca="1" t="shared" si="0"/>
        <v>165.64838364520526</v>
      </c>
      <c r="C43" s="63"/>
    </row>
    <row r="44" spans="1:3" ht="14.25">
      <c r="A44" s="61">
        <f t="shared" si="1"/>
        <v>37</v>
      </c>
      <c r="B44" s="128">
        <f ca="1" t="shared" si="0"/>
        <v>147.52630181299998</v>
      </c>
      <c r="C44" s="63"/>
    </row>
    <row r="45" spans="1:3" ht="14.25">
      <c r="A45" s="61">
        <f t="shared" si="1"/>
        <v>38</v>
      </c>
      <c r="B45" s="128">
        <f ca="1" t="shared" si="0"/>
        <v>149.83503021513272</v>
      </c>
      <c r="C45" s="63"/>
    </row>
    <row r="46" spans="1:3" ht="14.25">
      <c r="A46" s="61">
        <f t="shared" si="1"/>
        <v>39</v>
      </c>
      <c r="B46" s="128">
        <f ca="1" t="shared" si="0"/>
        <v>140.50060584805976</v>
      </c>
      <c r="C46" s="63"/>
    </row>
    <row r="47" spans="1:3" ht="14.25">
      <c r="A47" s="61">
        <f t="shared" si="1"/>
        <v>40</v>
      </c>
      <c r="B47" s="128">
        <f ca="1" t="shared" si="0"/>
        <v>142.64363520218706</v>
      </c>
      <c r="C47" s="63"/>
    </row>
    <row r="48" spans="1:3" ht="14.25">
      <c r="A48" s="61">
        <f t="shared" si="1"/>
        <v>41</v>
      </c>
      <c r="B48" s="128">
        <f ca="1" t="shared" si="0"/>
        <v>116.29991958941267</v>
      </c>
      <c r="C48" s="63"/>
    </row>
    <row r="49" spans="1:3" ht="14.25">
      <c r="A49" s="61">
        <f t="shared" si="1"/>
        <v>42</v>
      </c>
      <c r="B49" s="128">
        <f ca="1" t="shared" si="0"/>
        <v>116.79339815588091</v>
      </c>
      <c r="C49" s="63"/>
    </row>
    <row r="50" spans="1:3" ht="14.25">
      <c r="A50" s="61">
        <f t="shared" si="1"/>
        <v>43</v>
      </c>
      <c r="B50" s="128">
        <f ca="1" t="shared" si="0"/>
        <v>137.9490345687655</v>
      </c>
      <c r="C50" s="63"/>
    </row>
    <row r="51" spans="1:3" ht="14.25">
      <c r="A51" s="61">
        <f t="shared" si="1"/>
        <v>44</v>
      </c>
      <c r="B51" s="128">
        <f ca="1" t="shared" si="0"/>
        <v>154.8102404029053</v>
      </c>
      <c r="C51" s="63"/>
    </row>
    <row r="52" spans="1:3" ht="14.25">
      <c r="A52" s="61">
        <f t="shared" si="1"/>
        <v>45</v>
      </c>
      <c r="B52" s="128">
        <f ca="1" t="shared" si="0"/>
        <v>165.6100559234589</v>
      </c>
      <c r="C52" s="63"/>
    </row>
    <row r="53" spans="1:3" ht="14.25">
      <c r="A53" s="61">
        <f t="shared" si="1"/>
        <v>46</v>
      </c>
      <c r="B53" s="128">
        <f ca="1" t="shared" si="0"/>
        <v>146.63442672672315</v>
      </c>
      <c r="C53" s="63"/>
    </row>
    <row r="54" spans="1:3" ht="14.25">
      <c r="A54" s="61">
        <f t="shared" si="1"/>
        <v>47</v>
      </c>
      <c r="B54" s="128">
        <f ca="1" t="shared" si="0"/>
        <v>156.1759801196582</v>
      </c>
      <c r="C54" s="63"/>
    </row>
    <row r="55" spans="1:3" ht="14.25">
      <c r="A55" s="61">
        <f t="shared" si="1"/>
        <v>48</v>
      </c>
      <c r="B55" s="128">
        <f ca="1" t="shared" si="0"/>
        <v>133.92889973272128</v>
      </c>
      <c r="C55" s="63"/>
    </row>
    <row r="56" spans="1:3" ht="14.25">
      <c r="A56" s="61">
        <f t="shared" si="1"/>
        <v>49</v>
      </c>
      <c r="B56" s="128">
        <f ca="1" t="shared" si="0"/>
        <v>154.16598957384377</v>
      </c>
      <c r="C56" s="63"/>
    </row>
    <row r="57" spans="1:3" ht="14.25">
      <c r="A57" s="61">
        <f t="shared" si="1"/>
        <v>50</v>
      </c>
      <c r="B57" s="128">
        <f ca="1" t="shared" si="0"/>
        <v>139.5824312794315</v>
      </c>
      <c r="C57" s="63"/>
    </row>
    <row r="58" spans="1:3" ht="14.25">
      <c r="A58" s="61">
        <f t="shared" si="1"/>
        <v>51</v>
      </c>
      <c r="B58" s="128">
        <f ca="1" t="shared" si="0"/>
        <v>137.52822031988075</v>
      </c>
      <c r="C58" s="63"/>
    </row>
    <row r="59" spans="1:3" ht="14.25">
      <c r="A59" s="61">
        <f t="shared" si="1"/>
        <v>52</v>
      </c>
      <c r="B59" s="128">
        <f ca="1" t="shared" si="0"/>
        <v>145.93771169997095</v>
      </c>
      <c r="C59" s="63"/>
    </row>
    <row r="60" spans="1:3" ht="14.25">
      <c r="A60" s="61">
        <f t="shared" si="1"/>
        <v>53</v>
      </c>
      <c r="B60" s="128">
        <f ca="1" t="shared" si="0"/>
        <v>124.09862419787666</v>
      </c>
      <c r="C60" s="63"/>
    </row>
    <row r="61" spans="1:3" ht="14.25">
      <c r="A61" s="61">
        <f t="shared" si="1"/>
        <v>54</v>
      </c>
      <c r="B61" s="128">
        <f ca="1" t="shared" si="0"/>
        <v>142.7993894385401</v>
      </c>
      <c r="C61" s="63"/>
    </row>
    <row r="62" spans="1:3" ht="14.25">
      <c r="A62" s="61">
        <f t="shared" si="1"/>
        <v>55</v>
      </c>
      <c r="B62" s="128">
        <f ca="1" t="shared" si="0"/>
        <v>145.84871795764073</v>
      </c>
      <c r="C62" s="63"/>
    </row>
    <row r="63" spans="1:3" ht="14.25">
      <c r="A63" s="61">
        <f t="shared" si="1"/>
        <v>56</v>
      </c>
      <c r="B63" s="128">
        <f ca="1" t="shared" si="0"/>
        <v>167.73813010924903</v>
      </c>
      <c r="C63" s="63"/>
    </row>
    <row r="64" spans="1:3" ht="14.25">
      <c r="A64" s="61">
        <f t="shared" si="1"/>
        <v>57</v>
      </c>
      <c r="B64" s="128">
        <f ca="1" t="shared" si="0"/>
        <v>176.59627351760167</v>
      </c>
      <c r="C64" s="63"/>
    </row>
    <row r="65" spans="1:3" ht="14.25">
      <c r="A65" s="61">
        <f t="shared" si="1"/>
        <v>58</v>
      </c>
      <c r="B65" s="128">
        <f ca="1" t="shared" si="0"/>
        <v>169.50789919339775</v>
      </c>
      <c r="C65" s="63"/>
    </row>
    <row r="66" spans="1:3" ht="14.25">
      <c r="A66" s="61">
        <f t="shared" si="1"/>
        <v>59</v>
      </c>
      <c r="B66" s="128">
        <f ca="1" t="shared" si="0"/>
        <v>148.8390105603247</v>
      </c>
      <c r="C66" s="63"/>
    </row>
    <row r="67" spans="1:3" ht="14.25">
      <c r="A67" s="61">
        <f t="shared" si="1"/>
        <v>60</v>
      </c>
      <c r="B67" s="128">
        <f ca="1" t="shared" si="0"/>
        <v>134.07266432667873</v>
      </c>
      <c r="C67" s="63"/>
    </row>
    <row r="68" spans="1:3" ht="14.25">
      <c r="A68" s="61">
        <f t="shared" si="1"/>
        <v>61</v>
      </c>
      <c r="B68" s="128">
        <f ca="1" t="shared" si="0"/>
        <v>152.06979271111175</v>
      </c>
      <c r="C68" s="63"/>
    </row>
    <row r="69" spans="1:3" ht="14.25">
      <c r="A69" s="61">
        <f t="shared" si="1"/>
        <v>62</v>
      </c>
      <c r="B69" s="128">
        <f ca="1" t="shared" si="0"/>
        <v>154.6149008487192</v>
      </c>
      <c r="C69" s="63"/>
    </row>
    <row r="70" spans="1:3" ht="14.25">
      <c r="A70" s="61">
        <f t="shared" si="1"/>
        <v>63</v>
      </c>
      <c r="B70" s="128">
        <f ca="1" t="shared" si="0"/>
        <v>161.65587940014655</v>
      </c>
      <c r="C70" s="63"/>
    </row>
    <row r="71" spans="1:3" ht="14.25">
      <c r="A71" s="61">
        <f t="shared" si="1"/>
        <v>64</v>
      </c>
      <c r="B71" s="128">
        <f ca="1" t="shared" si="0"/>
        <v>153.45589735445455</v>
      </c>
      <c r="C71" s="63"/>
    </row>
    <row r="72" spans="1:3" ht="14.25">
      <c r="A72" s="61">
        <f t="shared" si="1"/>
        <v>65</v>
      </c>
      <c r="B72" s="128">
        <f ca="1" t="shared" si="0"/>
        <v>167.8650782189608</v>
      </c>
      <c r="C72" s="63"/>
    </row>
    <row r="73" spans="1:3" ht="14.25">
      <c r="A73" s="61">
        <f t="shared" si="1"/>
        <v>66</v>
      </c>
      <c r="B73" s="128">
        <f aca="true" ca="1" t="shared" si="2" ref="B73:B136">NORMINV(RAND(),$C$3,$C$4)</f>
        <v>158.92764634369377</v>
      </c>
      <c r="C73" s="63"/>
    </row>
    <row r="74" spans="1:3" ht="14.25">
      <c r="A74" s="61">
        <f aca="true" t="shared" si="3" ref="A74:A137">1+A73</f>
        <v>67</v>
      </c>
      <c r="B74" s="128">
        <f ca="1" t="shared" si="2"/>
        <v>133.9501845847458</v>
      </c>
      <c r="C74" s="63"/>
    </row>
    <row r="75" spans="1:3" ht="14.25">
      <c r="A75" s="61">
        <f t="shared" si="3"/>
        <v>68</v>
      </c>
      <c r="B75" s="128">
        <f ca="1" t="shared" si="2"/>
        <v>151.1098520850028</v>
      </c>
      <c r="C75" s="63"/>
    </row>
    <row r="76" spans="1:3" ht="14.25">
      <c r="A76" s="61">
        <f t="shared" si="3"/>
        <v>69</v>
      </c>
      <c r="B76" s="128">
        <f ca="1" t="shared" si="2"/>
        <v>138.77692423821713</v>
      </c>
      <c r="C76" s="63"/>
    </row>
    <row r="77" spans="1:3" ht="14.25">
      <c r="A77" s="61">
        <f t="shared" si="3"/>
        <v>70</v>
      </c>
      <c r="B77" s="128">
        <f ca="1" t="shared" si="2"/>
        <v>141.97582501332397</v>
      </c>
      <c r="C77" s="63"/>
    </row>
    <row r="78" spans="1:3" ht="14.25">
      <c r="A78" s="61">
        <f t="shared" si="3"/>
        <v>71</v>
      </c>
      <c r="B78" s="128">
        <f ca="1" t="shared" si="2"/>
        <v>181.242084531363</v>
      </c>
      <c r="C78" s="63"/>
    </row>
    <row r="79" spans="1:3" ht="14.25">
      <c r="A79" s="61">
        <f t="shared" si="3"/>
        <v>72</v>
      </c>
      <c r="B79" s="128">
        <f ca="1" t="shared" si="2"/>
        <v>165.28481274979006</v>
      </c>
      <c r="C79" s="63"/>
    </row>
    <row r="80" spans="1:3" ht="14.25">
      <c r="A80" s="61">
        <f t="shared" si="3"/>
        <v>73</v>
      </c>
      <c r="B80" s="128">
        <f ca="1" t="shared" si="2"/>
        <v>165.23675403884474</v>
      </c>
      <c r="C80" s="63"/>
    </row>
    <row r="81" spans="1:3" ht="14.25">
      <c r="A81" s="61">
        <f t="shared" si="3"/>
        <v>74</v>
      </c>
      <c r="B81" s="128">
        <f ca="1" t="shared" si="2"/>
        <v>171.21762912226433</v>
      </c>
      <c r="C81" s="63"/>
    </row>
    <row r="82" spans="1:3" ht="14.25">
      <c r="A82" s="61">
        <f t="shared" si="3"/>
        <v>75</v>
      </c>
      <c r="B82" s="128">
        <f ca="1" t="shared" si="2"/>
        <v>121.76444866911746</v>
      </c>
      <c r="C82" s="63"/>
    </row>
    <row r="83" spans="1:3" ht="14.25">
      <c r="A83" s="61">
        <f t="shared" si="3"/>
        <v>76</v>
      </c>
      <c r="B83" s="128">
        <f ca="1" t="shared" si="2"/>
        <v>131.46272906557536</v>
      </c>
      <c r="C83" s="63"/>
    </row>
    <row r="84" spans="1:3" ht="14.25">
      <c r="A84" s="61">
        <f t="shared" si="3"/>
        <v>77</v>
      </c>
      <c r="B84" s="128">
        <f ca="1" t="shared" si="2"/>
        <v>152.2937785940576</v>
      </c>
      <c r="C84" s="63"/>
    </row>
    <row r="85" spans="1:3" ht="14.25">
      <c r="A85" s="61">
        <f t="shared" si="3"/>
        <v>78</v>
      </c>
      <c r="B85" s="128">
        <f ca="1" t="shared" si="2"/>
        <v>145.3871124760408</v>
      </c>
      <c r="C85" s="63"/>
    </row>
    <row r="86" spans="1:3" ht="14.25">
      <c r="A86" s="61">
        <f t="shared" si="3"/>
        <v>79</v>
      </c>
      <c r="B86" s="128">
        <f ca="1" t="shared" si="2"/>
        <v>150.55333380144063</v>
      </c>
      <c r="C86" s="63"/>
    </row>
    <row r="87" spans="1:3" ht="14.25">
      <c r="A87" s="61">
        <f t="shared" si="3"/>
        <v>80</v>
      </c>
      <c r="B87" s="128">
        <f ca="1" t="shared" si="2"/>
        <v>143.1357264391609</v>
      </c>
      <c r="C87" s="63"/>
    </row>
    <row r="88" spans="1:3" ht="14.25">
      <c r="A88" s="61">
        <f t="shared" si="3"/>
        <v>81</v>
      </c>
      <c r="B88" s="128">
        <f ca="1" t="shared" si="2"/>
        <v>141.77747853407263</v>
      </c>
      <c r="C88" s="63"/>
    </row>
    <row r="89" spans="1:3" ht="14.25">
      <c r="A89" s="61">
        <f t="shared" si="3"/>
        <v>82</v>
      </c>
      <c r="B89" s="128">
        <f ca="1" t="shared" si="2"/>
        <v>141.26059151756934</v>
      </c>
      <c r="C89" s="63"/>
    </row>
    <row r="90" spans="1:3" ht="14.25">
      <c r="A90" s="61">
        <f t="shared" si="3"/>
        <v>83</v>
      </c>
      <c r="B90" s="128">
        <f ca="1" t="shared" si="2"/>
        <v>145.65404785302553</v>
      </c>
      <c r="C90" s="63"/>
    </row>
    <row r="91" spans="1:3" ht="14.25">
      <c r="A91" s="61">
        <f t="shared" si="3"/>
        <v>84</v>
      </c>
      <c r="B91" s="128">
        <f ca="1" t="shared" si="2"/>
        <v>132.46702821138473</v>
      </c>
      <c r="C91" s="63"/>
    </row>
    <row r="92" spans="1:3" ht="14.25">
      <c r="A92" s="61">
        <f t="shared" si="3"/>
        <v>85</v>
      </c>
      <c r="B92" s="128">
        <f ca="1" t="shared" si="2"/>
        <v>169.8704755846666</v>
      </c>
      <c r="C92" s="63"/>
    </row>
    <row r="93" spans="1:3" ht="14.25">
      <c r="A93" s="61">
        <f t="shared" si="3"/>
        <v>86</v>
      </c>
      <c r="B93" s="128">
        <f ca="1" t="shared" si="2"/>
        <v>173.13671089508028</v>
      </c>
      <c r="C93" s="63"/>
    </row>
    <row r="94" spans="1:3" ht="14.25">
      <c r="A94" s="61">
        <f t="shared" si="3"/>
        <v>87</v>
      </c>
      <c r="B94" s="128">
        <f ca="1" t="shared" si="2"/>
        <v>155.9861143339594</v>
      </c>
      <c r="C94" s="63"/>
    </row>
    <row r="95" spans="1:3" ht="14.25">
      <c r="A95" s="61">
        <f t="shared" si="3"/>
        <v>88</v>
      </c>
      <c r="B95" s="128">
        <f ca="1" t="shared" si="2"/>
        <v>138.99849523039535</v>
      </c>
      <c r="C95" s="63"/>
    </row>
    <row r="96" spans="1:3" ht="14.25">
      <c r="A96" s="61">
        <f t="shared" si="3"/>
        <v>89</v>
      </c>
      <c r="B96" s="128">
        <f ca="1" t="shared" si="2"/>
        <v>126.5160896439317</v>
      </c>
      <c r="C96" s="63"/>
    </row>
    <row r="97" spans="1:3" ht="14.25">
      <c r="A97" s="61">
        <f t="shared" si="3"/>
        <v>90</v>
      </c>
      <c r="B97" s="128">
        <f ca="1" t="shared" si="2"/>
        <v>186.0037876221059</v>
      </c>
      <c r="C97" s="63"/>
    </row>
    <row r="98" spans="1:3" ht="14.25">
      <c r="A98" s="61">
        <f t="shared" si="3"/>
        <v>91</v>
      </c>
      <c r="B98" s="128">
        <f ca="1" t="shared" si="2"/>
        <v>172.93801730596863</v>
      </c>
      <c r="C98" s="63"/>
    </row>
    <row r="99" spans="1:3" ht="14.25">
      <c r="A99" s="61">
        <f t="shared" si="3"/>
        <v>92</v>
      </c>
      <c r="B99" s="128">
        <f ca="1" t="shared" si="2"/>
        <v>139.064293857528</v>
      </c>
      <c r="C99" s="63"/>
    </row>
    <row r="100" spans="1:3" ht="14.25">
      <c r="A100" s="61">
        <f t="shared" si="3"/>
        <v>93</v>
      </c>
      <c r="B100" s="128">
        <f ca="1" t="shared" si="2"/>
        <v>155.78661150433518</v>
      </c>
      <c r="C100" s="63"/>
    </row>
    <row r="101" spans="1:3" ht="14.25">
      <c r="A101" s="61">
        <f t="shared" si="3"/>
        <v>94</v>
      </c>
      <c r="B101" s="128">
        <f ca="1" t="shared" si="2"/>
        <v>131.9223230772229</v>
      </c>
      <c r="C101" s="63"/>
    </row>
    <row r="102" spans="1:3" ht="14.25">
      <c r="A102" s="61">
        <f t="shared" si="3"/>
        <v>95</v>
      </c>
      <c r="B102" s="128">
        <f ca="1" t="shared" si="2"/>
        <v>151.09423536948293</v>
      </c>
      <c r="C102" s="63"/>
    </row>
    <row r="103" spans="1:3" ht="14.25">
      <c r="A103" s="61">
        <f t="shared" si="3"/>
        <v>96</v>
      </c>
      <c r="B103" s="128">
        <f ca="1" t="shared" si="2"/>
        <v>153.90021177496823</v>
      </c>
      <c r="C103" s="63"/>
    </row>
    <row r="104" spans="1:3" ht="14.25">
      <c r="A104" s="61">
        <f t="shared" si="3"/>
        <v>97</v>
      </c>
      <c r="B104" s="128">
        <f ca="1" t="shared" si="2"/>
        <v>134.44022404855284</v>
      </c>
      <c r="C104" s="63"/>
    </row>
    <row r="105" spans="1:3" ht="14.25">
      <c r="A105" s="61">
        <f t="shared" si="3"/>
        <v>98</v>
      </c>
      <c r="B105" s="128">
        <f ca="1" t="shared" si="2"/>
        <v>148.4224155101336</v>
      </c>
      <c r="C105" s="63"/>
    </row>
    <row r="106" spans="1:3" ht="14.25">
      <c r="A106" s="61">
        <f t="shared" si="3"/>
        <v>99</v>
      </c>
      <c r="B106" s="128">
        <f ca="1" t="shared" si="2"/>
        <v>150.86777473001948</v>
      </c>
      <c r="C106" s="63"/>
    </row>
    <row r="107" spans="1:3" ht="14.25">
      <c r="A107" s="61">
        <f t="shared" si="3"/>
        <v>100</v>
      </c>
      <c r="B107" s="128">
        <f ca="1" t="shared" si="2"/>
        <v>105.70020107269146</v>
      </c>
      <c r="C107" s="63"/>
    </row>
    <row r="108" spans="1:3" ht="14.25">
      <c r="A108" s="61">
        <f t="shared" si="3"/>
        <v>101</v>
      </c>
      <c r="B108" s="128">
        <f ca="1" t="shared" si="2"/>
        <v>151.40364976135226</v>
      </c>
      <c r="C108" s="63"/>
    </row>
    <row r="109" spans="1:3" ht="14.25">
      <c r="A109" s="61">
        <f t="shared" si="3"/>
        <v>102</v>
      </c>
      <c r="B109" s="128">
        <f ca="1" t="shared" si="2"/>
        <v>157.07777734446034</v>
      </c>
      <c r="C109" s="63"/>
    </row>
    <row r="110" spans="1:3" ht="14.25">
      <c r="A110" s="61">
        <f t="shared" si="3"/>
        <v>103</v>
      </c>
      <c r="B110" s="128">
        <f ca="1" t="shared" si="2"/>
        <v>143.53958521602868</v>
      </c>
      <c r="C110" s="63"/>
    </row>
    <row r="111" spans="1:3" ht="14.25">
      <c r="A111" s="61">
        <f t="shared" si="3"/>
        <v>104</v>
      </c>
      <c r="B111" s="128">
        <f ca="1" t="shared" si="2"/>
        <v>140.54742606434178</v>
      </c>
      <c r="C111" s="63"/>
    </row>
    <row r="112" spans="1:3" ht="14.25">
      <c r="A112" s="61">
        <f t="shared" si="3"/>
        <v>105</v>
      </c>
      <c r="B112" s="128">
        <f ca="1" t="shared" si="2"/>
        <v>144.35172471105597</v>
      </c>
      <c r="C112" s="63"/>
    </row>
    <row r="113" spans="1:3" ht="14.25">
      <c r="A113" s="61">
        <f t="shared" si="3"/>
        <v>106</v>
      </c>
      <c r="B113" s="128">
        <f ca="1" t="shared" si="2"/>
        <v>138.6321473628852</v>
      </c>
      <c r="C113" s="63"/>
    </row>
    <row r="114" spans="1:3" ht="14.25">
      <c r="A114" s="61">
        <f t="shared" si="3"/>
        <v>107</v>
      </c>
      <c r="B114" s="128">
        <f ca="1" t="shared" si="2"/>
        <v>148.0248359927936</v>
      </c>
      <c r="C114" s="63"/>
    </row>
    <row r="115" spans="1:3" ht="14.25">
      <c r="A115" s="61">
        <f t="shared" si="3"/>
        <v>108</v>
      </c>
      <c r="B115" s="128">
        <f ca="1" t="shared" si="2"/>
        <v>109.6235305417552</v>
      </c>
      <c r="C115" s="63"/>
    </row>
    <row r="116" spans="1:3" ht="14.25">
      <c r="A116" s="61">
        <f t="shared" si="3"/>
        <v>109</v>
      </c>
      <c r="B116" s="128">
        <f ca="1" t="shared" si="2"/>
        <v>136.96266459606977</v>
      </c>
      <c r="C116" s="63"/>
    </row>
    <row r="117" spans="1:3" ht="14.25">
      <c r="A117" s="61">
        <f t="shared" si="3"/>
        <v>110</v>
      </c>
      <c r="B117" s="128">
        <f ca="1" t="shared" si="2"/>
        <v>161.6005854708564</v>
      </c>
      <c r="C117" s="63"/>
    </row>
    <row r="118" spans="1:3" ht="14.25">
      <c r="A118" s="61">
        <f t="shared" si="3"/>
        <v>111</v>
      </c>
      <c r="B118" s="128">
        <f ca="1" t="shared" si="2"/>
        <v>147.8876578809506</v>
      </c>
      <c r="C118" s="63"/>
    </row>
    <row r="119" spans="1:3" ht="14.25">
      <c r="A119" s="61">
        <f t="shared" si="3"/>
        <v>112</v>
      </c>
      <c r="B119" s="128">
        <f ca="1" t="shared" si="2"/>
        <v>152.68777750424263</v>
      </c>
      <c r="C119" s="63"/>
    </row>
    <row r="120" spans="1:3" ht="14.25">
      <c r="A120" s="61">
        <f t="shared" si="3"/>
        <v>113</v>
      </c>
      <c r="B120" s="128">
        <f ca="1" t="shared" si="2"/>
        <v>160.6533568563641</v>
      </c>
      <c r="C120" s="63"/>
    </row>
    <row r="121" spans="1:3" ht="14.25">
      <c r="A121" s="61">
        <f t="shared" si="3"/>
        <v>114</v>
      </c>
      <c r="B121" s="128">
        <f ca="1" t="shared" si="2"/>
        <v>158.46556747782142</v>
      </c>
      <c r="C121" s="63"/>
    </row>
    <row r="122" spans="1:3" ht="14.25">
      <c r="A122" s="61">
        <f t="shared" si="3"/>
        <v>115</v>
      </c>
      <c r="B122" s="128">
        <f ca="1" t="shared" si="2"/>
        <v>153.60972168514093</v>
      </c>
      <c r="C122" s="63"/>
    </row>
    <row r="123" spans="1:3" ht="14.25">
      <c r="A123" s="61">
        <f t="shared" si="3"/>
        <v>116</v>
      </c>
      <c r="B123" s="128">
        <f ca="1" t="shared" si="2"/>
        <v>143.31189890164623</v>
      </c>
      <c r="C123" s="63"/>
    </row>
    <row r="124" spans="1:3" ht="14.25">
      <c r="A124" s="61">
        <f t="shared" si="3"/>
        <v>117</v>
      </c>
      <c r="B124" s="128">
        <f ca="1" t="shared" si="2"/>
        <v>169.66166150028803</v>
      </c>
      <c r="C124" s="63"/>
    </row>
    <row r="125" spans="1:3" ht="14.25">
      <c r="A125" s="61">
        <f t="shared" si="3"/>
        <v>118</v>
      </c>
      <c r="B125" s="128">
        <f ca="1" t="shared" si="2"/>
        <v>139.88030138155833</v>
      </c>
      <c r="C125" s="63"/>
    </row>
    <row r="126" spans="1:3" ht="14.25">
      <c r="A126" s="61">
        <f t="shared" si="3"/>
        <v>119</v>
      </c>
      <c r="B126" s="128">
        <f ca="1" t="shared" si="2"/>
        <v>148.4762315000048</v>
      </c>
      <c r="C126" s="63"/>
    </row>
    <row r="127" spans="1:3" ht="14.25">
      <c r="A127" s="61">
        <f t="shared" si="3"/>
        <v>120</v>
      </c>
      <c r="B127" s="128">
        <f ca="1" t="shared" si="2"/>
        <v>148.86838453621303</v>
      </c>
      <c r="C127" s="63"/>
    </row>
    <row r="128" spans="1:3" ht="14.25">
      <c r="A128" s="61">
        <f t="shared" si="3"/>
        <v>121</v>
      </c>
      <c r="B128" s="128">
        <f ca="1" t="shared" si="2"/>
        <v>143.99787200818784</v>
      </c>
      <c r="C128" s="63"/>
    </row>
    <row r="129" spans="1:3" ht="14.25">
      <c r="A129" s="61">
        <f t="shared" si="3"/>
        <v>122</v>
      </c>
      <c r="B129" s="128">
        <f ca="1" t="shared" si="2"/>
        <v>155.44610817190537</v>
      </c>
      <c r="C129" s="63"/>
    </row>
    <row r="130" spans="1:3" ht="14.25">
      <c r="A130" s="61">
        <f t="shared" si="3"/>
        <v>123</v>
      </c>
      <c r="B130" s="128">
        <f ca="1" t="shared" si="2"/>
        <v>139.42483340739776</v>
      </c>
      <c r="C130" s="63"/>
    </row>
    <row r="131" spans="1:3" ht="14.25">
      <c r="A131" s="61">
        <f t="shared" si="3"/>
        <v>124</v>
      </c>
      <c r="B131" s="128">
        <f ca="1" t="shared" si="2"/>
        <v>155.9734020749431</v>
      </c>
      <c r="C131" s="63"/>
    </row>
    <row r="132" spans="1:3" ht="14.25">
      <c r="A132" s="61">
        <f t="shared" si="3"/>
        <v>125</v>
      </c>
      <c r="B132" s="128">
        <f ca="1" t="shared" si="2"/>
        <v>148.57715805002778</v>
      </c>
      <c r="C132" s="63"/>
    </row>
    <row r="133" spans="1:3" ht="14.25">
      <c r="A133" s="61">
        <f t="shared" si="3"/>
        <v>126</v>
      </c>
      <c r="B133" s="128">
        <f ca="1" t="shared" si="2"/>
        <v>141.25609676755366</v>
      </c>
      <c r="C133" s="63"/>
    </row>
    <row r="134" spans="1:3" ht="14.25">
      <c r="A134" s="61">
        <f t="shared" si="3"/>
        <v>127</v>
      </c>
      <c r="B134" s="128">
        <f ca="1" t="shared" si="2"/>
        <v>156.30294451506714</v>
      </c>
      <c r="C134" s="63"/>
    </row>
    <row r="135" spans="1:3" ht="14.25">
      <c r="A135" s="61">
        <f t="shared" si="3"/>
        <v>128</v>
      </c>
      <c r="B135" s="128">
        <f ca="1" t="shared" si="2"/>
        <v>149.69139442235073</v>
      </c>
      <c r="C135" s="63"/>
    </row>
    <row r="136" spans="1:3" ht="14.25">
      <c r="A136" s="61">
        <f t="shared" si="3"/>
        <v>129</v>
      </c>
      <c r="B136" s="128">
        <f ca="1" t="shared" si="2"/>
        <v>148.00780928633094</v>
      </c>
      <c r="C136" s="63"/>
    </row>
    <row r="137" spans="1:3" ht="14.25">
      <c r="A137" s="61">
        <f t="shared" si="3"/>
        <v>130</v>
      </c>
      <c r="B137" s="128">
        <f aca="true" ca="1" t="shared" si="4" ref="B137:B200">NORMINV(RAND(),$C$3,$C$4)</f>
        <v>123.19264737369608</v>
      </c>
      <c r="C137" s="63"/>
    </row>
    <row r="138" spans="1:3" ht="14.25">
      <c r="A138" s="61">
        <f aca="true" t="shared" si="5" ref="A138:A201">1+A137</f>
        <v>131</v>
      </c>
      <c r="B138" s="128">
        <f ca="1" t="shared" si="4"/>
        <v>155.46868236142197</v>
      </c>
      <c r="C138" s="63"/>
    </row>
    <row r="139" spans="1:3" ht="14.25">
      <c r="A139" s="61">
        <f t="shared" si="5"/>
        <v>132</v>
      </c>
      <c r="B139" s="128">
        <f ca="1" t="shared" si="4"/>
        <v>161.15496384364127</v>
      </c>
      <c r="C139" s="63"/>
    </row>
    <row r="140" spans="1:3" ht="14.25">
      <c r="A140" s="61">
        <f t="shared" si="5"/>
        <v>133</v>
      </c>
      <c r="B140" s="128">
        <f ca="1" t="shared" si="4"/>
        <v>141.99816109708536</v>
      </c>
      <c r="C140" s="63"/>
    </row>
    <row r="141" spans="1:3" ht="14.25">
      <c r="A141" s="61">
        <f t="shared" si="5"/>
        <v>134</v>
      </c>
      <c r="B141" s="128">
        <f ca="1" t="shared" si="4"/>
        <v>157.49614206336713</v>
      </c>
      <c r="C141" s="63"/>
    </row>
    <row r="142" spans="1:3" ht="14.25">
      <c r="A142" s="61">
        <f t="shared" si="5"/>
        <v>135</v>
      </c>
      <c r="B142" s="128">
        <f ca="1" t="shared" si="4"/>
        <v>146.95823235777206</v>
      </c>
      <c r="C142" s="63"/>
    </row>
    <row r="143" spans="1:3" ht="14.25">
      <c r="A143" s="61">
        <f t="shared" si="5"/>
        <v>136</v>
      </c>
      <c r="B143" s="128">
        <f ca="1" t="shared" si="4"/>
        <v>160.42988367687636</v>
      </c>
      <c r="C143" s="63"/>
    </row>
    <row r="144" spans="1:3" ht="14.25">
      <c r="A144" s="61">
        <f t="shared" si="5"/>
        <v>137</v>
      </c>
      <c r="B144" s="128">
        <f ca="1" t="shared" si="4"/>
        <v>140.38235734725438</v>
      </c>
      <c r="C144" s="63"/>
    </row>
    <row r="145" spans="1:3" ht="14.25">
      <c r="A145" s="61">
        <f t="shared" si="5"/>
        <v>138</v>
      </c>
      <c r="B145" s="128">
        <f ca="1" t="shared" si="4"/>
        <v>144.13933078922602</v>
      </c>
      <c r="C145" s="63"/>
    </row>
    <row r="146" spans="1:3" ht="14.25">
      <c r="A146" s="61">
        <f t="shared" si="5"/>
        <v>139</v>
      </c>
      <c r="B146" s="128">
        <f ca="1" t="shared" si="4"/>
        <v>166.65235565756896</v>
      </c>
      <c r="C146" s="63"/>
    </row>
    <row r="147" spans="1:3" ht="14.25">
      <c r="A147" s="61">
        <f t="shared" si="5"/>
        <v>140</v>
      </c>
      <c r="B147" s="128">
        <f ca="1" t="shared" si="4"/>
        <v>138.5649422865482</v>
      </c>
      <c r="C147" s="63"/>
    </row>
    <row r="148" spans="1:3" ht="14.25">
      <c r="A148" s="61">
        <f t="shared" si="5"/>
        <v>141</v>
      </c>
      <c r="B148" s="128">
        <f ca="1" t="shared" si="4"/>
        <v>152.1753201696328</v>
      </c>
      <c r="C148" s="63"/>
    </row>
    <row r="149" spans="1:3" ht="14.25">
      <c r="A149" s="61">
        <f t="shared" si="5"/>
        <v>142</v>
      </c>
      <c r="B149" s="128">
        <f ca="1" t="shared" si="4"/>
        <v>165.79770539522912</v>
      </c>
      <c r="C149" s="63"/>
    </row>
    <row r="150" spans="1:3" ht="14.25">
      <c r="A150" s="61">
        <f t="shared" si="5"/>
        <v>143</v>
      </c>
      <c r="B150" s="128">
        <f ca="1" t="shared" si="4"/>
        <v>121.27598433555637</v>
      </c>
      <c r="C150" s="63"/>
    </row>
    <row r="151" spans="1:3" ht="14.25">
      <c r="A151" s="61">
        <f t="shared" si="5"/>
        <v>144</v>
      </c>
      <c r="B151" s="128">
        <f ca="1" t="shared" si="4"/>
        <v>167.55064503889835</v>
      </c>
      <c r="C151" s="63"/>
    </row>
    <row r="152" spans="1:3" ht="14.25">
      <c r="A152" s="61">
        <f t="shared" si="5"/>
        <v>145</v>
      </c>
      <c r="B152" s="128">
        <f ca="1" t="shared" si="4"/>
        <v>147.8687548825582</v>
      </c>
      <c r="C152" s="63"/>
    </row>
    <row r="153" spans="1:3" ht="14.25">
      <c r="A153" s="61">
        <f t="shared" si="5"/>
        <v>146</v>
      </c>
      <c r="B153" s="128">
        <f ca="1" t="shared" si="4"/>
        <v>162.1589459839164</v>
      </c>
      <c r="C153" s="63"/>
    </row>
    <row r="154" spans="1:3" ht="14.25">
      <c r="A154" s="61">
        <f t="shared" si="5"/>
        <v>147</v>
      </c>
      <c r="B154" s="128">
        <f ca="1" t="shared" si="4"/>
        <v>173.8762806934393</v>
      </c>
      <c r="C154" s="63"/>
    </row>
    <row r="155" spans="1:3" ht="14.25">
      <c r="A155" s="61">
        <f t="shared" si="5"/>
        <v>148</v>
      </c>
      <c r="B155" s="128">
        <f ca="1" t="shared" si="4"/>
        <v>143.7110104693125</v>
      </c>
      <c r="C155" s="63"/>
    </row>
    <row r="156" spans="1:3" ht="14.25">
      <c r="A156" s="61">
        <f t="shared" si="5"/>
        <v>149</v>
      </c>
      <c r="B156" s="128">
        <f ca="1" t="shared" si="4"/>
        <v>143.41248664468975</v>
      </c>
      <c r="C156" s="63"/>
    </row>
    <row r="157" spans="1:3" ht="14.25">
      <c r="A157" s="61">
        <f t="shared" si="5"/>
        <v>150</v>
      </c>
      <c r="B157" s="128">
        <f ca="1" t="shared" si="4"/>
        <v>160.0310171700236</v>
      </c>
      <c r="C157" s="63"/>
    </row>
    <row r="158" spans="1:3" ht="14.25">
      <c r="A158" s="61">
        <f t="shared" si="5"/>
        <v>151</v>
      </c>
      <c r="B158" s="128">
        <f ca="1" t="shared" si="4"/>
        <v>132.8609758661764</v>
      </c>
      <c r="C158" s="63"/>
    </row>
    <row r="159" spans="1:3" ht="14.25">
      <c r="A159" s="61">
        <f t="shared" si="5"/>
        <v>152</v>
      </c>
      <c r="B159" s="128">
        <f ca="1" t="shared" si="4"/>
        <v>164.16936202039156</v>
      </c>
      <c r="C159" s="63"/>
    </row>
    <row r="160" spans="1:3" ht="14.25">
      <c r="A160" s="61">
        <f t="shared" si="5"/>
        <v>153</v>
      </c>
      <c r="B160" s="128">
        <f ca="1" t="shared" si="4"/>
        <v>153.59298458515528</v>
      </c>
      <c r="C160" s="63"/>
    </row>
    <row r="161" spans="1:3" ht="14.25">
      <c r="A161" s="61">
        <f t="shared" si="5"/>
        <v>154</v>
      </c>
      <c r="B161" s="128">
        <f ca="1" t="shared" si="4"/>
        <v>173.50235193826967</v>
      </c>
      <c r="C161" s="63"/>
    </row>
    <row r="162" spans="1:3" ht="14.25">
      <c r="A162" s="61">
        <f t="shared" si="5"/>
        <v>155</v>
      </c>
      <c r="B162" s="128">
        <f ca="1" t="shared" si="4"/>
        <v>143.51590379703902</v>
      </c>
      <c r="C162" s="63"/>
    </row>
    <row r="163" spans="1:3" ht="14.25">
      <c r="A163" s="61">
        <f t="shared" si="5"/>
        <v>156</v>
      </c>
      <c r="B163" s="128">
        <f ca="1" t="shared" si="4"/>
        <v>155.08004208087638</v>
      </c>
      <c r="C163" s="63"/>
    </row>
    <row r="164" spans="1:3" ht="14.25">
      <c r="A164" s="61">
        <f t="shared" si="5"/>
        <v>157</v>
      </c>
      <c r="B164" s="128">
        <f ca="1" t="shared" si="4"/>
        <v>118.43269073954619</v>
      </c>
      <c r="C164" s="63"/>
    </row>
    <row r="165" spans="1:3" ht="14.25">
      <c r="A165" s="61">
        <f t="shared" si="5"/>
        <v>158</v>
      </c>
      <c r="B165" s="128">
        <f ca="1" t="shared" si="4"/>
        <v>144.70144294911182</v>
      </c>
      <c r="C165" s="63"/>
    </row>
    <row r="166" spans="1:3" ht="14.25">
      <c r="A166" s="61">
        <f t="shared" si="5"/>
        <v>159</v>
      </c>
      <c r="B166" s="128">
        <f ca="1" t="shared" si="4"/>
        <v>168.30236798273683</v>
      </c>
      <c r="C166" s="63"/>
    </row>
    <row r="167" spans="1:3" ht="14.25">
      <c r="A167" s="61">
        <f t="shared" si="5"/>
        <v>160</v>
      </c>
      <c r="B167" s="128">
        <f ca="1" t="shared" si="4"/>
        <v>154.70304977240096</v>
      </c>
      <c r="C167" s="63"/>
    </row>
    <row r="168" spans="1:3" ht="14.25">
      <c r="A168" s="61">
        <f t="shared" si="5"/>
        <v>161</v>
      </c>
      <c r="B168" s="128">
        <f ca="1" t="shared" si="4"/>
        <v>147.2387234226581</v>
      </c>
      <c r="C168" s="63"/>
    </row>
    <row r="169" spans="1:3" ht="14.25">
      <c r="A169" s="61">
        <f t="shared" si="5"/>
        <v>162</v>
      </c>
      <c r="B169" s="128">
        <f ca="1" t="shared" si="4"/>
        <v>165.9987484107232</v>
      </c>
      <c r="C169" s="63"/>
    </row>
    <row r="170" spans="1:3" ht="14.25">
      <c r="A170" s="61">
        <f t="shared" si="5"/>
        <v>163</v>
      </c>
      <c r="B170" s="128">
        <f ca="1" t="shared" si="4"/>
        <v>141.4675784684671</v>
      </c>
      <c r="C170" s="63"/>
    </row>
    <row r="171" spans="1:3" ht="14.25">
      <c r="A171" s="61">
        <f t="shared" si="5"/>
        <v>164</v>
      </c>
      <c r="B171" s="128">
        <f ca="1" t="shared" si="4"/>
        <v>177.82643651695653</v>
      </c>
      <c r="C171" s="63"/>
    </row>
    <row r="172" spans="1:3" ht="14.25">
      <c r="A172" s="61">
        <f t="shared" si="5"/>
        <v>165</v>
      </c>
      <c r="B172" s="128">
        <f ca="1" t="shared" si="4"/>
        <v>152.76678668989405</v>
      </c>
      <c r="C172" s="63"/>
    </row>
    <row r="173" spans="1:3" ht="14.25">
      <c r="A173" s="61">
        <f t="shared" si="5"/>
        <v>166</v>
      </c>
      <c r="B173" s="128">
        <f ca="1" t="shared" si="4"/>
        <v>152.25094395199739</v>
      </c>
      <c r="C173" s="63"/>
    </row>
    <row r="174" spans="1:3" ht="14.25">
      <c r="A174" s="61">
        <f t="shared" si="5"/>
        <v>167</v>
      </c>
      <c r="B174" s="128">
        <f ca="1" t="shared" si="4"/>
        <v>150.39701144431658</v>
      </c>
      <c r="C174" s="63"/>
    </row>
    <row r="175" spans="1:3" ht="14.25">
      <c r="A175" s="61">
        <f t="shared" si="5"/>
        <v>168</v>
      </c>
      <c r="B175" s="128">
        <f ca="1" t="shared" si="4"/>
        <v>142.63918657864593</v>
      </c>
      <c r="C175" s="63"/>
    </row>
    <row r="176" spans="1:3" ht="14.25">
      <c r="A176" s="61">
        <f t="shared" si="5"/>
        <v>169</v>
      </c>
      <c r="B176" s="128">
        <f ca="1" t="shared" si="4"/>
        <v>129.65243127515672</v>
      </c>
      <c r="C176" s="63"/>
    </row>
    <row r="177" spans="1:3" ht="14.25">
      <c r="A177" s="61">
        <f t="shared" si="5"/>
        <v>170</v>
      </c>
      <c r="B177" s="128">
        <f ca="1" t="shared" si="4"/>
        <v>159.65684876086397</v>
      </c>
      <c r="C177" s="63"/>
    </row>
    <row r="178" spans="1:3" ht="14.25">
      <c r="A178" s="61">
        <f t="shared" si="5"/>
        <v>171</v>
      </c>
      <c r="B178" s="128">
        <f ca="1" t="shared" si="4"/>
        <v>178.7282437457927</v>
      </c>
      <c r="C178" s="63"/>
    </row>
    <row r="179" spans="1:3" ht="14.25">
      <c r="A179" s="61">
        <f t="shared" si="5"/>
        <v>172</v>
      </c>
      <c r="B179" s="128">
        <f ca="1" t="shared" si="4"/>
        <v>141.8806373024813</v>
      </c>
      <c r="C179" s="63"/>
    </row>
    <row r="180" spans="1:3" ht="14.25">
      <c r="A180" s="61">
        <f t="shared" si="5"/>
        <v>173</v>
      </c>
      <c r="B180" s="128">
        <f ca="1" t="shared" si="4"/>
        <v>155.42332113706826</v>
      </c>
      <c r="C180" s="63"/>
    </row>
    <row r="181" spans="1:3" ht="14.25">
      <c r="A181" s="61">
        <f t="shared" si="5"/>
        <v>174</v>
      </c>
      <c r="B181" s="128">
        <f ca="1" t="shared" si="4"/>
        <v>134.33733340575316</v>
      </c>
      <c r="C181" s="63"/>
    </row>
    <row r="182" spans="1:3" ht="14.25">
      <c r="A182" s="61">
        <f t="shared" si="5"/>
        <v>175</v>
      </c>
      <c r="B182" s="128">
        <f ca="1" t="shared" si="4"/>
        <v>141.31376702521393</v>
      </c>
      <c r="C182" s="63"/>
    </row>
    <row r="183" spans="1:3" ht="14.25">
      <c r="A183" s="61">
        <f t="shared" si="5"/>
        <v>176</v>
      </c>
      <c r="B183" s="128">
        <f ca="1" t="shared" si="4"/>
        <v>140.72094546908806</v>
      </c>
      <c r="C183" s="63"/>
    </row>
    <row r="184" spans="1:3" ht="14.25">
      <c r="A184" s="61">
        <f t="shared" si="5"/>
        <v>177</v>
      </c>
      <c r="B184" s="128">
        <f ca="1" t="shared" si="4"/>
        <v>158.50913448876088</v>
      </c>
      <c r="C184" s="63"/>
    </row>
    <row r="185" spans="1:3" ht="14.25">
      <c r="A185" s="61">
        <f t="shared" si="5"/>
        <v>178</v>
      </c>
      <c r="B185" s="128">
        <f ca="1" t="shared" si="4"/>
        <v>122.20768767251856</v>
      </c>
      <c r="C185" s="63"/>
    </row>
    <row r="186" spans="1:3" ht="14.25">
      <c r="A186" s="61">
        <f t="shared" si="5"/>
        <v>179</v>
      </c>
      <c r="B186" s="128">
        <f ca="1" t="shared" si="4"/>
        <v>117.83549484316126</v>
      </c>
      <c r="C186" s="63"/>
    </row>
    <row r="187" spans="1:3" ht="14.25">
      <c r="A187" s="61">
        <f t="shared" si="5"/>
        <v>180</v>
      </c>
      <c r="B187" s="128">
        <f ca="1" t="shared" si="4"/>
        <v>188.1576835513678</v>
      </c>
      <c r="C187" s="63"/>
    </row>
    <row r="188" spans="1:3" ht="14.25">
      <c r="A188" s="61">
        <f t="shared" si="5"/>
        <v>181</v>
      </c>
      <c r="B188" s="128">
        <f ca="1" t="shared" si="4"/>
        <v>148.68805256791026</v>
      </c>
      <c r="C188" s="63"/>
    </row>
    <row r="189" spans="1:3" ht="14.25">
      <c r="A189" s="61">
        <f t="shared" si="5"/>
        <v>182</v>
      </c>
      <c r="B189" s="128">
        <f ca="1" t="shared" si="4"/>
        <v>152.99426994088998</v>
      </c>
      <c r="C189" s="63"/>
    </row>
    <row r="190" spans="1:3" ht="14.25">
      <c r="A190" s="61">
        <f t="shared" si="5"/>
        <v>183</v>
      </c>
      <c r="B190" s="128">
        <f ca="1" t="shared" si="4"/>
        <v>160.02135918778782</v>
      </c>
      <c r="C190" s="63"/>
    </row>
    <row r="191" spans="1:3" ht="14.25">
      <c r="A191" s="61">
        <f t="shared" si="5"/>
        <v>184</v>
      </c>
      <c r="B191" s="128">
        <f ca="1" t="shared" si="4"/>
        <v>153.636978433132</v>
      </c>
      <c r="C191" s="63"/>
    </row>
    <row r="192" spans="1:3" ht="14.25">
      <c r="A192" s="61">
        <f t="shared" si="5"/>
        <v>185</v>
      </c>
      <c r="B192" s="128">
        <f ca="1" t="shared" si="4"/>
        <v>140.4050928410905</v>
      </c>
      <c r="C192" s="63"/>
    </row>
    <row r="193" spans="1:3" ht="14.25">
      <c r="A193" s="61">
        <f t="shared" si="5"/>
        <v>186</v>
      </c>
      <c r="B193" s="128">
        <f ca="1" t="shared" si="4"/>
        <v>160.62859371959863</v>
      </c>
      <c r="C193" s="63"/>
    </row>
    <row r="194" spans="1:3" ht="14.25">
      <c r="A194" s="61">
        <f t="shared" si="5"/>
        <v>187</v>
      </c>
      <c r="B194" s="128">
        <f ca="1" t="shared" si="4"/>
        <v>186.8878046112126</v>
      </c>
      <c r="C194" s="63"/>
    </row>
    <row r="195" spans="1:3" ht="14.25">
      <c r="A195" s="61">
        <f t="shared" si="5"/>
        <v>188</v>
      </c>
      <c r="B195" s="128">
        <f ca="1" t="shared" si="4"/>
        <v>120.76642632970616</v>
      </c>
      <c r="C195" s="63"/>
    </row>
    <row r="196" spans="1:3" ht="14.25">
      <c r="A196" s="61">
        <f t="shared" si="5"/>
        <v>189</v>
      </c>
      <c r="B196" s="128">
        <f ca="1" t="shared" si="4"/>
        <v>126.6451219057193</v>
      </c>
      <c r="C196" s="63"/>
    </row>
    <row r="197" spans="1:3" ht="14.25">
      <c r="A197" s="61">
        <f t="shared" si="5"/>
        <v>190</v>
      </c>
      <c r="B197" s="128">
        <f ca="1" t="shared" si="4"/>
        <v>142.01275223777535</v>
      </c>
      <c r="C197" s="63"/>
    </row>
    <row r="198" spans="1:3" ht="14.25">
      <c r="A198" s="61">
        <f t="shared" si="5"/>
        <v>191</v>
      </c>
      <c r="B198" s="128">
        <f ca="1" t="shared" si="4"/>
        <v>141.33815975647084</v>
      </c>
      <c r="C198" s="63"/>
    </row>
    <row r="199" spans="1:3" ht="14.25">
      <c r="A199" s="61">
        <f t="shared" si="5"/>
        <v>192</v>
      </c>
      <c r="B199" s="128">
        <f ca="1" t="shared" si="4"/>
        <v>149.51089110208335</v>
      </c>
      <c r="C199" s="63"/>
    </row>
    <row r="200" spans="1:3" ht="14.25">
      <c r="A200" s="61">
        <f t="shared" si="5"/>
        <v>193</v>
      </c>
      <c r="B200" s="128">
        <f ca="1" t="shared" si="4"/>
        <v>143.83881398822615</v>
      </c>
      <c r="C200" s="63"/>
    </row>
    <row r="201" spans="1:3" ht="14.25">
      <c r="A201" s="61">
        <f t="shared" si="5"/>
        <v>194</v>
      </c>
      <c r="B201" s="128">
        <f ca="1">NORMINV(RAND(),$C$3,$C$4)</f>
        <v>162.29909187633777</v>
      </c>
      <c r="C201" s="63"/>
    </row>
    <row r="202" spans="1:3" ht="14.25">
      <c r="A202" s="61">
        <f>1+A201</f>
        <v>195</v>
      </c>
      <c r="B202" s="128">
        <f ca="1">NORMINV(RAND(),$C$3,$C$4)</f>
        <v>146.81543985792442</v>
      </c>
      <c r="C202" s="63"/>
    </row>
    <row r="203" spans="1:3" ht="14.25">
      <c r="A203" s="61">
        <f>1+A202</f>
        <v>196</v>
      </c>
      <c r="B203" s="128">
        <f ca="1">NORMINV(RAND(),$C$3,$C$4)</f>
        <v>172.13881714249612</v>
      </c>
      <c r="C203" s="6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T139"/>
  <sheetViews>
    <sheetView zoomScale="90" zoomScaleNormal="90" zoomScalePageLayoutView="0" workbookViewId="0" topLeftCell="A1">
      <selection activeCell="C18" sqref="C18"/>
    </sheetView>
  </sheetViews>
  <sheetFormatPr defaultColWidth="9.140625" defaultRowHeight="12.75"/>
  <cols>
    <col min="2" max="2" width="25.28125" style="0" customWidth="1"/>
    <col min="3" max="3" width="11.57421875" style="0" customWidth="1"/>
    <col min="4" max="4" width="9.421875" style="0" customWidth="1"/>
    <col min="5" max="5" width="7.7109375" style="0" customWidth="1"/>
    <col min="6" max="6" width="6.7109375" style="0" customWidth="1"/>
    <col min="7" max="7" width="9.57421875" style="0" bestFit="1" customWidth="1"/>
    <col min="8" max="8" width="11.7109375" style="0" customWidth="1"/>
    <col min="11" max="11" width="7.8515625" style="0" customWidth="1"/>
    <col min="12" max="12" width="4.28125" style="0" customWidth="1"/>
    <col min="13" max="13" width="9.28125" style="0" bestFit="1" customWidth="1"/>
    <col min="17" max="17" width="7.00390625" style="0" customWidth="1"/>
    <col min="18" max="18" width="8.28125" style="0" customWidth="1"/>
    <col min="19" max="19" width="8.28125" style="8" customWidth="1"/>
  </cols>
  <sheetData>
    <row r="1" ht="22.5" customHeight="1">
      <c r="A1" s="126" t="s">
        <v>77</v>
      </c>
    </row>
    <row r="2" spans="1:20" ht="20.25">
      <c r="A2" s="5"/>
      <c r="G2" s="58" t="s">
        <v>75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2.75">
      <c r="A3" s="30" t="s">
        <v>71</v>
      </c>
      <c r="B3" s="3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2.75">
      <c r="A4" t="s">
        <v>5</v>
      </c>
      <c r="C4" s="37">
        <v>2000000</v>
      </c>
      <c r="D4" t="s">
        <v>2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12.75">
      <c r="A5" t="s">
        <v>6</v>
      </c>
      <c r="C5" s="37">
        <v>2200000</v>
      </c>
      <c r="D5" t="s">
        <v>2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t="s">
        <v>7</v>
      </c>
      <c r="C6" s="129">
        <f>C5-C4</f>
        <v>200000</v>
      </c>
      <c r="D6" t="s">
        <v>2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12.75">
      <c r="A7" t="s">
        <v>15</v>
      </c>
      <c r="C7" s="37">
        <v>300</v>
      </c>
      <c r="D7" t="s">
        <v>16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12.75">
      <c r="A8" t="s">
        <v>0</v>
      </c>
      <c r="C8" s="38">
        <v>0.5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t="s">
        <v>1</v>
      </c>
      <c r="C9" s="38">
        <v>-0.5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12.75">
      <c r="A10" s="31" t="s">
        <v>78</v>
      </c>
      <c r="B10" s="2"/>
      <c r="C10" s="39">
        <v>0.25</v>
      </c>
      <c r="D10" s="2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ht="12.75">
      <c r="A11" s="29" t="s">
        <v>70</v>
      </c>
      <c r="C11" s="12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ht="12.75">
      <c r="A12" t="s">
        <v>25</v>
      </c>
      <c r="C12" s="37">
        <v>320</v>
      </c>
      <c r="D12" t="s">
        <v>16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ht="12.75">
      <c r="A13" s="3" t="s">
        <v>34</v>
      </c>
      <c r="B13" s="3"/>
      <c r="C13" s="40">
        <v>80</v>
      </c>
      <c r="D13" s="3" t="s">
        <v>16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ht="12.75">
      <c r="A14" t="s">
        <v>24</v>
      </c>
      <c r="C14" s="41">
        <v>0.09</v>
      </c>
      <c r="D14" t="s">
        <v>19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12.75">
      <c r="A15" s="2" t="s">
        <v>18</v>
      </c>
      <c r="B15" s="2"/>
      <c r="C15" s="39">
        <v>0</v>
      </c>
      <c r="D15" s="2" t="s">
        <v>19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ht="12.75">
      <c r="A16" s="29" t="s">
        <v>72</v>
      </c>
      <c r="C16" s="12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ht="12.75">
      <c r="A17" t="s">
        <v>36</v>
      </c>
      <c r="C17" s="42">
        <v>400</v>
      </c>
      <c r="D17" s="10" t="s">
        <v>16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ht="12.75">
      <c r="A18" t="s">
        <v>35</v>
      </c>
      <c r="C18" s="42">
        <v>300</v>
      </c>
      <c r="D18" s="10" t="s">
        <v>16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2.75">
      <c r="A19" s="10" t="s">
        <v>43</v>
      </c>
      <c r="C19" s="42">
        <v>10</v>
      </c>
      <c r="D19" s="10" t="s">
        <v>45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2.75">
      <c r="A20" s="10" t="s">
        <v>67</v>
      </c>
      <c r="C20" s="41">
        <v>0.1</v>
      </c>
      <c r="D20" s="10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2.75">
      <c r="A21" s="10" t="s">
        <v>66</v>
      </c>
      <c r="C21" s="42">
        <v>25</v>
      </c>
      <c r="D21" s="10" t="s">
        <v>16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12.75">
      <c r="A22" s="10" t="s">
        <v>46</v>
      </c>
      <c r="C22" s="37">
        <v>200000</v>
      </c>
      <c r="D22" s="10" t="s">
        <v>2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2.75">
      <c r="A23" s="10" t="s">
        <v>47</v>
      </c>
      <c r="C23" s="37">
        <v>5000</v>
      </c>
      <c r="D23" s="10" t="s">
        <v>44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3.5" customHeight="1">
      <c r="A24" s="10" t="s">
        <v>81</v>
      </c>
      <c r="C24" s="37">
        <v>400000</v>
      </c>
      <c r="D24" s="10" t="s">
        <v>2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3:20" ht="12.75">
      <c r="C25" s="8"/>
      <c r="E25" s="10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2.75">
      <c r="A26" s="11" t="s">
        <v>13</v>
      </c>
      <c r="B26" s="2"/>
      <c r="C26" s="133" t="s">
        <v>63</v>
      </c>
      <c r="D26" s="133"/>
      <c r="E26" s="134" t="s">
        <v>28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5.75">
      <c r="A27" t="s">
        <v>37</v>
      </c>
      <c r="C27" s="22"/>
      <c r="D27" s="22"/>
      <c r="E27" s="22"/>
      <c r="G27" s="58" t="s">
        <v>76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2.75">
      <c r="A28" t="s">
        <v>29</v>
      </c>
      <c r="C28" s="43">
        <f>AVERAGE('Data - Stabilization'!L10:L109)</f>
        <v>2062254.0318219655</v>
      </c>
      <c r="D28" s="23" t="s">
        <v>2</v>
      </c>
      <c r="E28" s="54">
        <f>STDEV('Data - Stabilization'!L10:L109)/AVERAGE('Data - Stabilization'!L10:L109)</f>
        <v>0.12172963081821905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2.75">
      <c r="A29" t="s">
        <v>30</v>
      </c>
      <c r="C29" s="43">
        <f>AVERAGE('Data - Stabilization'!M10:M109)</f>
        <v>2062254.0318219662</v>
      </c>
      <c r="D29" s="23" t="s">
        <v>2</v>
      </c>
      <c r="E29" s="54">
        <f>STDEV('Data - Stabilization'!M10:M109)/AVERAGE('Data - Stabilization'!M10:M109)</f>
        <v>0.12172963081821594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2.75">
      <c r="A30" s="3" t="s">
        <v>31</v>
      </c>
      <c r="B30" s="3"/>
      <c r="C30" s="44">
        <f>AVERAGE('Data - Stabilization'!K10:K109)</f>
        <v>357.79192251405067</v>
      </c>
      <c r="D30" s="26" t="s">
        <v>16</v>
      </c>
      <c r="E30" s="55">
        <f>STDEV('Data - Stabilization'!K10:K109)/AVERAGE('Data - Stabilization'!K10:K109)</f>
        <v>0.2632169240363617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2.75">
      <c r="A31" s="16" t="s">
        <v>64</v>
      </c>
      <c r="B31" s="2"/>
      <c r="C31" s="45">
        <f>AVERAGE('Data - Stabilization'!N10:N109)</f>
        <v>714.9993886651417</v>
      </c>
      <c r="D31" s="25" t="s">
        <v>42</v>
      </c>
      <c r="E31" s="56">
        <f>STDEV('Data - Stabilization'!N10:N109)/AVERAGE('Data - Stabilization'!N10:N109)</f>
        <v>0.127981541339368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2.75">
      <c r="A32" s="10" t="s">
        <v>38</v>
      </c>
      <c r="C32" s="22"/>
      <c r="D32" s="24"/>
      <c r="E32" s="130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.75">
      <c r="A33" t="s">
        <v>29</v>
      </c>
      <c r="C33" s="44">
        <f>AVERAGE('Data - Stabilization'!Q10:Q109)</f>
        <v>2025566.188667891</v>
      </c>
      <c r="D33" s="23" t="s">
        <v>2</v>
      </c>
      <c r="E33" s="54">
        <f>STDEV('Data - Stabilization'!Q10:Q109)/AVERAGE('Data - Stabilization'!Q10:Q109)</f>
        <v>0.15505232561470617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2.75">
      <c r="A34" t="s">
        <v>30</v>
      </c>
      <c r="B34" s="3"/>
      <c r="C34" s="44">
        <f>AVERAGE('Data - Stabilization'!R10:R109)</f>
        <v>2104408.9035385204</v>
      </c>
      <c r="D34" s="23" t="s">
        <v>2</v>
      </c>
      <c r="E34" s="54">
        <f>STDEV('Data - Stabilization'!R10:R109)/AVERAGE('Data - Stabilization'!R10:R109)</f>
        <v>0.09181596890185242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.75">
      <c r="A35" s="3" t="s">
        <v>31</v>
      </c>
      <c r="B35" s="3"/>
      <c r="C35" s="46">
        <f>AVERAGE('Data - Stabilization'!P10:P109)</f>
        <v>335.7476082767945</v>
      </c>
      <c r="D35" s="26" t="s">
        <v>60</v>
      </c>
      <c r="E35" s="57">
        <f>STDEV('Data - Stabilization'!P10:P109)/AVERAGE('Data - Stabilization'!P10:P109)</f>
        <v>0.17225635981533027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2.75">
      <c r="A36" s="7" t="s">
        <v>64</v>
      </c>
      <c r="B36" s="3"/>
      <c r="C36" s="46">
        <f>AVERAGE('Data - Stabilization'!S10:S109)</f>
        <v>664.0060235209888</v>
      </c>
      <c r="D36" s="26" t="s">
        <v>42</v>
      </c>
      <c r="E36" s="57">
        <f>STDEV('Data - Stabilization'!S10:S109)/AVERAGE('Data - Stabilization'!S10:S109)</f>
        <v>0.0982489484191633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2.75">
      <c r="A37" s="3" t="s">
        <v>32</v>
      </c>
      <c r="B37" s="3"/>
      <c r="C37" s="46">
        <f>AVERAGE('Data - Stabilization'!T10:T109)</f>
        <v>78842.71487062829</v>
      </c>
      <c r="D37" s="26" t="s">
        <v>2</v>
      </c>
      <c r="E37" s="57">
        <f>STDEV('Data - Stabilization'!T10:T109)/AVERAGE('Data - Stabilization'!T10:T109)</f>
        <v>2.1815996621822697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2.75">
      <c r="A38" s="2" t="s">
        <v>33</v>
      </c>
      <c r="B38" s="2"/>
      <c r="C38" s="47">
        <f>AVERAGE('Data - Stabilization'!U10:U109)</f>
        <v>0</v>
      </c>
      <c r="D38" s="27"/>
      <c r="E38" s="47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2.75">
      <c r="A39" s="10" t="s">
        <v>142</v>
      </c>
      <c r="B39" s="3"/>
      <c r="C39" s="131"/>
      <c r="D39" s="24"/>
      <c r="E39" s="132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2.75">
      <c r="A40" t="s">
        <v>29</v>
      </c>
      <c r="B40" s="3"/>
      <c r="C40" s="44">
        <f>AVERAGE('Data - Stabilization'!X10:X109)</f>
        <v>2078373.1348939748</v>
      </c>
      <c r="D40" s="23" t="s">
        <v>2</v>
      </c>
      <c r="E40" s="57">
        <f>STDEV('Data - Stabilization'!X10:X109)/AVERAGE('Data - Stabilization'!X10:X109)</f>
        <v>0.18468786488211558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2.75">
      <c r="A41" t="s">
        <v>30</v>
      </c>
      <c r="B41" s="3"/>
      <c r="C41" s="44">
        <f>AVERAGE('Data - Stabilization'!Y10:Y109)</f>
        <v>2055934.391370151</v>
      </c>
      <c r="D41" s="23" t="s">
        <v>2</v>
      </c>
      <c r="E41" s="57">
        <f>STDEV('Data - Stabilization'!Y10:Y109)/AVERAGE('Data - Stabilization'!Y10:Y109)</f>
        <v>0.06146930229365131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2.75">
      <c r="A42" t="s">
        <v>31</v>
      </c>
      <c r="B42" s="3"/>
      <c r="C42" s="48">
        <f>AVERAGE('Data - Stabilization'!W10:W109)</f>
        <v>347.4068667912951</v>
      </c>
      <c r="D42" s="26" t="s">
        <v>60</v>
      </c>
      <c r="E42" s="50">
        <f>STDEV('Data - Stabilization'!W10:W109)/AVERAGE('Data - Stabilization'!W10:W109)</f>
        <v>0.12301330414525848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2.75">
      <c r="A43" t="s">
        <v>64</v>
      </c>
      <c r="B43" s="3"/>
      <c r="C43" s="48">
        <f>AVERAGE('Data - Stabilization'!Z10:Z109)</f>
        <v>707.7522321932452</v>
      </c>
      <c r="D43" s="26" t="s">
        <v>42</v>
      </c>
      <c r="E43" s="50">
        <f>STDEV('Data - Stabilization'!Z10:Z109)/AVERAGE('Data - Stabilization'!Z10:Z109)</f>
        <v>0.10072286333434494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2.75">
      <c r="A44" s="28" t="s">
        <v>143</v>
      </c>
      <c r="B44" s="3"/>
      <c r="C44" s="49">
        <f>AVERAGE('Data - Stabilization'!AA10:AA109)</f>
        <v>22438.743523823927</v>
      </c>
      <c r="D44" s="6" t="s">
        <v>144</v>
      </c>
      <c r="E44" s="132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2.75">
      <c r="A45" s="4" t="s">
        <v>91</v>
      </c>
      <c r="B45" s="3"/>
      <c r="C45" s="50">
        <f>'Data - Stabilization'!AO112</f>
        <v>0.39</v>
      </c>
      <c r="D45" s="6"/>
      <c r="E45" s="132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2.75">
      <c r="A46" s="4" t="s">
        <v>92</v>
      </c>
      <c r="B46" s="3"/>
      <c r="C46" s="50">
        <f>'Data - Stabilization'!AN112</f>
        <v>0.31</v>
      </c>
      <c r="D46" s="6"/>
      <c r="E46" s="132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2.75">
      <c r="A47" s="28" t="s">
        <v>90</v>
      </c>
      <c r="B47" s="3"/>
      <c r="C47" s="49">
        <f>AVERAGE('Data - Stabilization'!AG10:AG109)</f>
        <v>54.095061739389045</v>
      </c>
      <c r="D47" s="6" t="s">
        <v>42</v>
      </c>
      <c r="E47" s="132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2.75">
      <c r="A48" s="4" t="s">
        <v>86</v>
      </c>
      <c r="C48" s="51">
        <f>AVERAGE('Data - Stabilization'!AK9:AK109)</f>
        <v>0.09</v>
      </c>
      <c r="E48" s="7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2.75">
      <c r="A49" s="4" t="s">
        <v>85</v>
      </c>
      <c r="C49" s="51">
        <f>AVERAGE('Data - Stabilization'!AL9:AL109)</f>
        <v>0.08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2.75">
      <c r="A50" s="4" t="s">
        <v>145</v>
      </c>
      <c r="C50" s="51">
        <f>AVERAGE('Data - Stabilization'!AM9:AM109)</f>
        <v>0.83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4" t="s">
        <v>87</v>
      </c>
      <c r="C51" s="52">
        <f>1-(1-C48)^10</f>
        <v>0.6105838818818924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4" t="s">
        <v>88</v>
      </c>
      <c r="C52" s="52">
        <f>1-(1-C49)^10</f>
        <v>0.5656115457763677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36" t="s">
        <v>89</v>
      </c>
      <c r="B53" s="2"/>
      <c r="C53" s="53">
        <f>1-(1-C50)^10</f>
        <v>0.999999979840061</v>
      </c>
      <c r="D53" s="2"/>
      <c r="E53" s="2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Single-market simulation model</dc:title>
  <dc:subject/>
  <dc:creator>Nick Minot</dc:creator>
  <cp:keywords/>
  <dc:description>This Excel spreadsheet can be used to simulate the effects of changes in supply, demand, income, and tariff rates on production, consumption, imports and price.</dc:description>
  <cp:lastModifiedBy>Payne, Kenna</cp:lastModifiedBy>
  <dcterms:created xsi:type="dcterms:W3CDTF">2007-11-05T21:33:01Z</dcterms:created>
  <dcterms:modified xsi:type="dcterms:W3CDTF">2018-05-23T20:14:01Z</dcterms:modified>
  <cp:category/>
  <cp:version/>
  <cp:contentType/>
  <cp:contentStatus/>
</cp:coreProperties>
</file>