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Exports" sheetId="1" r:id="rId1"/>
    <sheet name="Imports" sheetId="2" r:id="rId2"/>
  </sheets>
  <definedNames>
    <definedName name="Dalpha" localSheetId="0">'Exports'!$D$46</definedName>
    <definedName name="Dalpha">'Imports'!$D$46</definedName>
    <definedName name="Dbeta" localSheetId="0">'Exports'!$D$47</definedName>
    <definedName name="Dbeta">'Imports'!$D$47</definedName>
    <definedName name="Dgamma" localSheetId="0">'Exports'!$D$48</definedName>
    <definedName name="Dgamma">'Imports'!$D$48</definedName>
    <definedName name="Edi" localSheetId="0">'Exports'!$D$13</definedName>
    <definedName name="Edi">'Imports'!$D$13</definedName>
    <definedName name="Edp" localSheetId="0">'Exports'!$D$12</definedName>
    <definedName name="Edp">'Imports'!$D$12</definedName>
    <definedName name="Edy" localSheetId="0">'Exports'!$D$13</definedName>
    <definedName name="Edy">'Imports'!$D$13</definedName>
    <definedName name="Es" localSheetId="0">'Exports'!$D$11</definedName>
    <definedName name="Es">'Imports'!$D$11</definedName>
    <definedName name="Initial_tax">'Exports'!$D$8</definedName>
    <definedName name="M">'Imports'!$D$6</definedName>
    <definedName name="M_0">'Imports'!$D$24</definedName>
    <definedName name="M_1">'Imports'!$E$24</definedName>
    <definedName name="M0">'Imports'!$D$24</definedName>
    <definedName name="New_tariff">'Imports'!$D$19</definedName>
    <definedName name="New_tax">'Exports'!$D$19</definedName>
    <definedName name="Original_tariff">'Imports'!$D$8</definedName>
    <definedName name="P" localSheetId="0">'Exports'!$D$7</definedName>
    <definedName name="P">'Imports'!$D$7</definedName>
    <definedName name="P_0" localSheetId="0">'Exports'!$D$25</definedName>
    <definedName name="P_0">'Imports'!$D$25</definedName>
    <definedName name="P_1" localSheetId="0">'Exports'!$E$25</definedName>
    <definedName name="P_1">'Imports'!$E$25</definedName>
    <definedName name="P_initial" localSheetId="0">'Exports'!$D$25</definedName>
    <definedName name="P_initial">'Imports'!$D$25</definedName>
    <definedName name="P_new" localSheetId="0">'Exports'!$E$25</definedName>
    <definedName name="P_new">'Imports'!$E$25</definedName>
    <definedName name="P0" localSheetId="0">'Exports'!$D$25</definedName>
    <definedName name="P0">'Imports'!$D$25</definedName>
    <definedName name="PctChIncome" localSheetId="0">'Exports'!$D$17</definedName>
    <definedName name="PctChIncome">'Imports'!$D$17</definedName>
    <definedName name="PctChPrice" localSheetId="0">'Exports'!$D$16</definedName>
    <definedName name="PctChPrice">'Imports'!$D$16</definedName>
    <definedName name="PctChSupply" localSheetId="0">'Exports'!$D$18</definedName>
    <definedName name="PctChSupply">'Imports'!$D$18</definedName>
    <definedName name="Qd" localSheetId="0">'Exports'!$D$5</definedName>
    <definedName name="Qd">'Imports'!$D$5</definedName>
    <definedName name="Qd0" localSheetId="0">'Exports'!$D$23</definedName>
    <definedName name="Qd0">'Imports'!$D$23</definedName>
    <definedName name="Qd1" localSheetId="0">'Exports'!$E$23</definedName>
    <definedName name="Qd1">'Imports'!$E$23</definedName>
    <definedName name="Qs" localSheetId="0">'Exports'!$D$4</definedName>
    <definedName name="Qs">'Imports'!$D$4</definedName>
    <definedName name="Qs0" localSheetId="0">'Exports'!$D$22</definedName>
    <definedName name="Qs0">'Imports'!$D$22</definedName>
    <definedName name="Qs1" localSheetId="0">'Exports'!$E$22</definedName>
    <definedName name="Qs1">'Imports'!$E$22</definedName>
    <definedName name="Salpha" localSheetId="0">'Exports'!$D$40</definedName>
    <definedName name="Salpha">'Imports'!$D$40</definedName>
    <definedName name="Sbeta" localSheetId="0">'Exports'!$D$41</definedName>
    <definedName name="Sbeta">'Imports'!$D$41</definedName>
    <definedName name="sljfdlk" localSheetId="0">'Exports'!$D$22</definedName>
    <definedName name="sljfdlk">'Imports'!$D$22</definedName>
    <definedName name="temp" localSheetId="0">'Exports'!$D$22</definedName>
    <definedName name="temp">'Imports'!$D$22</definedName>
    <definedName name="X">'Exports'!$D$6</definedName>
    <definedName name="X_0">'Exports'!$D$24</definedName>
    <definedName name="X_1">'Exports'!$E$24</definedName>
    <definedName name="Y" localSheetId="0">'Exports'!$D$45</definedName>
    <definedName name="Y">'Imports'!$D$45</definedName>
  </definedNames>
  <calcPr fullCalcOnLoad="1"/>
</workbook>
</file>

<file path=xl/sharedStrings.xml><?xml version="1.0" encoding="utf-8"?>
<sst xmlns="http://schemas.openxmlformats.org/spreadsheetml/2006/main" count="126" uniqueCount="57">
  <si>
    <t>Price</t>
  </si>
  <si>
    <t>Supply elasticity</t>
  </si>
  <si>
    <t>Price elasticity of demand</t>
  </si>
  <si>
    <t>tons</t>
  </si>
  <si>
    <t>Supply intercept (α)</t>
  </si>
  <si>
    <t>Supply price coefficient (β)</t>
  </si>
  <si>
    <t>Q</t>
  </si>
  <si>
    <t xml:space="preserve">Production </t>
  </si>
  <si>
    <t>Consumption</t>
  </si>
  <si>
    <t>Imports</t>
  </si>
  <si>
    <t>Income elasticity of demand</t>
  </si>
  <si>
    <t>Supply</t>
  </si>
  <si>
    <t xml:space="preserve">Demand </t>
  </si>
  <si>
    <t>Before</t>
  </si>
  <si>
    <t>After</t>
  </si>
  <si>
    <t>Pct increase in import price</t>
  </si>
  <si>
    <t>Pct increase in income</t>
  </si>
  <si>
    <t xml:space="preserve">Pct outward shift in supply </t>
  </si>
  <si>
    <t>Demand intercept (α)</t>
  </si>
  <si>
    <t>Demand price coefficient (β)</t>
  </si>
  <si>
    <t>Demand income coefficient (φ)</t>
  </si>
  <si>
    <t>ln(Q) = α + β*ln(P)</t>
  </si>
  <si>
    <t>ln(Q) = α + β*ln(P) + φ*ln(Y)</t>
  </si>
  <si>
    <t>Change to simulate (0.1 = 10%)</t>
  </si>
  <si>
    <t>Supply curve</t>
  </si>
  <si>
    <t>Demand curve</t>
  </si>
  <si>
    <t>Production</t>
  </si>
  <si>
    <t>% change</t>
  </si>
  <si>
    <t>Initial conditions</t>
  </si>
  <si>
    <t>Assumptions regarding elasticities</t>
  </si>
  <si>
    <t xml:space="preserve">Results </t>
  </si>
  <si>
    <t>Tariff</t>
  </si>
  <si>
    <t>New tariff rate</t>
  </si>
  <si>
    <t>This section shows the calculations to generate graph and results</t>
  </si>
  <si>
    <t>Calculation of supply and demand curve coefficients</t>
  </si>
  <si>
    <t>Data for constructing graph of demand and supply curves</t>
  </si>
  <si>
    <t>Note: For calibration and simulation, change only the numbers in the green box</t>
  </si>
  <si>
    <t>Single-commodity model of supply and demand of an imported good</t>
  </si>
  <si>
    <t>Domestic price</t>
  </si>
  <si>
    <t>US$/ton</t>
  </si>
  <si>
    <t>Q Interval</t>
  </si>
  <si>
    <t>Income (US$/person/year)</t>
  </si>
  <si>
    <t>Free trade</t>
  </si>
  <si>
    <t>price</t>
  </si>
  <si>
    <t>Change in consumer surplus</t>
  </si>
  <si>
    <t>Change in producer surplus</t>
  </si>
  <si>
    <t>million</t>
  </si>
  <si>
    <t>* Welfare calculations work only for changes in import price and tariff</t>
  </si>
  <si>
    <t>Change in tariff revenue</t>
  </si>
  <si>
    <t>Change in welfare for producers &amp; consumers</t>
  </si>
  <si>
    <t>Single-commodity model of supply and demand of an exported good</t>
  </si>
  <si>
    <t>Exports</t>
  </si>
  <si>
    <t>Export tax</t>
  </si>
  <si>
    <t>Pct increase in world price</t>
  </si>
  <si>
    <t>New export tax</t>
  </si>
  <si>
    <t>Change in welfare of consumer and producer</t>
  </si>
  <si>
    <t>Change in export tax revenue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</si>
</sst>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_(* #,##0_);_(* \(#,##0\);_(* &quot;-&quot;?_);_(@_)"/>
    <numFmt numFmtId="168" formatCode="#,##0.0"/>
    <numFmt numFmtId="169" formatCode="0.0000"/>
    <numFmt numFmtId="170" formatCode="0.000"/>
    <numFmt numFmtId="171" formatCode="0.0"/>
    <numFmt numFmtId="172" formatCode="0.00000"/>
    <numFmt numFmtId="173" formatCode="0.000000"/>
    <numFmt numFmtId="174" formatCode="0.00000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b/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42" applyNumberFormat="1" applyFont="1" applyAlignment="1">
      <alignment/>
    </xf>
    <xf numFmtId="167" fontId="0" fillId="0" borderId="0" xfId="0" applyNumberFormat="1" applyAlignment="1">
      <alignment/>
    </xf>
    <xf numFmtId="1" fontId="0" fillId="0" borderId="0" xfId="42" applyNumberFormat="1" applyFon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9" fontId="0" fillId="0" borderId="0" xfId="57" applyFont="1" applyAlignment="1">
      <alignment/>
    </xf>
    <xf numFmtId="165" fontId="0" fillId="0" borderId="11" xfId="42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171" fontId="0" fillId="0" borderId="0" xfId="0" applyNumberFormat="1" applyBorder="1" applyAlignment="1">
      <alignment/>
    </xf>
    <xf numFmtId="9" fontId="0" fillId="0" borderId="0" xfId="57" applyFont="1" applyBorder="1" applyAlignment="1">
      <alignment/>
    </xf>
    <xf numFmtId="9" fontId="0" fillId="0" borderId="11" xfId="57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0" fillId="0" borderId="13" xfId="42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3" fontId="0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43" fontId="0" fillId="0" borderId="11" xfId="42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right"/>
    </xf>
    <xf numFmtId="167" fontId="0" fillId="0" borderId="15" xfId="0" applyNumberFormat="1" applyBorder="1" applyAlignment="1">
      <alignment/>
    </xf>
    <xf numFmtId="171" fontId="0" fillId="0" borderId="0" xfId="0" applyNumberFormat="1" applyBorder="1" applyAlignment="1">
      <alignment horizontal="right"/>
    </xf>
    <xf numFmtId="167" fontId="0" fillId="0" borderId="17" xfId="0" applyNumberFormat="1" applyBorder="1" applyAlignment="1">
      <alignment/>
    </xf>
    <xf numFmtId="165" fontId="0" fillId="32" borderId="0" xfId="42" applyNumberFormat="1" applyFont="1" applyFill="1" applyAlignment="1">
      <alignment/>
    </xf>
    <xf numFmtId="9" fontId="0" fillId="32" borderId="0" xfId="57" applyFont="1" applyFill="1" applyAlignment="1">
      <alignment/>
    </xf>
    <xf numFmtId="43" fontId="0" fillId="32" borderId="0" xfId="42" applyNumberFormat="1" applyFont="1" applyFill="1" applyAlignment="1">
      <alignment/>
    </xf>
    <xf numFmtId="4" fontId="0" fillId="32" borderId="0" xfId="42" applyNumberFormat="1" applyFont="1" applyFill="1" applyAlignment="1">
      <alignment/>
    </xf>
    <xf numFmtId="0" fontId="0" fillId="32" borderId="0" xfId="0" applyFill="1" applyAlignment="1">
      <alignment/>
    </xf>
    <xf numFmtId="165" fontId="2" fillId="0" borderId="0" xfId="0" applyNumberFormat="1" applyFont="1" applyAlignment="1">
      <alignment/>
    </xf>
    <xf numFmtId="0" fontId="0" fillId="0" borderId="0" xfId="0" applyFont="1" applyAlignment="1">
      <alignment/>
    </xf>
    <xf numFmtId="165" fontId="0" fillId="0" borderId="11" xfId="42" applyNumberFormat="1" applyFont="1" applyBorder="1" applyAlignment="1">
      <alignment/>
    </xf>
    <xf numFmtId="165" fontId="0" fillId="0" borderId="11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 horizontal="right"/>
    </xf>
    <xf numFmtId="165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9" fontId="0" fillId="0" borderId="0" xfId="57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Font="1" applyFill="1" applyBorder="1" applyAlignment="1">
      <alignment/>
    </xf>
    <xf numFmtId="165" fontId="0" fillId="32" borderId="0" xfId="42" applyNumberFormat="1" applyFont="1" applyFill="1" applyAlignment="1">
      <alignment/>
    </xf>
    <xf numFmtId="0" fontId="0" fillId="0" borderId="0" xfId="0" applyFont="1" applyAlignment="1">
      <alignment/>
    </xf>
    <xf numFmtId="3" fontId="0" fillId="32" borderId="0" xfId="42" applyNumberFormat="1" applyFont="1" applyFill="1" applyAlignment="1">
      <alignment/>
    </xf>
    <xf numFmtId="9" fontId="0" fillId="32" borderId="0" xfId="57" applyFont="1" applyFill="1" applyAlignment="1">
      <alignment/>
    </xf>
    <xf numFmtId="43" fontId="0" fillId="32" borderId="0" xfId="42" applyNumberFormat="1" applyFont="1" applyFill="1" applyAlignment="1">
      <alignment/>
    </xf>
    <xf numFmtId="4" fontId="0" fillId="32" borderId="0" xfId="42" applyNumberFormat="1" applyFont="1" applyFill="1" applyAlignment="1">
      <alignment/>
    </xf>
    <xf numFmtId="165" fontId="0" fillId="0" borderId="0" xfId="42" applyNumberFormat="1" applyFont="1" applyAlignment="1">
      <alignment/>
    </xf>
    <xf numFmtId="165" fontId="0" fillId="0" borderId="11" xfId="42" applyNumberFormat="1" applyFont="1" applyBorder="1" applyAlignment="1">
      <alignment horizontal="right"/>
    </xf>
    <xf numFmtId="9" fontId="0" fillId="0" borderId="0" xfId="57" applyFont="1" applyAlignment="1">
      <alignment/>
    </xf>
    <xf numFmtId="3" fontId="0" fillId="0" borderId="0" xfId="42" applyNumberFormat="1" applyFont="1" applyAlignment="1">
      <alignment/>
    </xf>
    <xf numFmtId="165" fontId="0" fillId="0" borderId="11" xfId="42" applyNumberFormat="1" applyFont="1" applyBorder="1" applyAlignment="1">
      <alignment/>
    </xf>
    <xf numFmtId="9" fontId="0" fillId="0" borderId="11" xfId="57" applyFont="1" applyBorder="1" applyAlignment="1">
      <alignment/>
    </xf>
    <xf numFmtId="165" fontId="0" fillId="0" borderId="0" xfId="42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9" fontId="0" fillId="0" borderId="0" xfId="57" applyFont="1" applyBorder="1" applyAlignment="1">
      <alignment/>
    </xf>
    <xf numFmtId="0" fontId="0" fillId="0" borderId="11" xfId="0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9" fontId="0" fillId="0" borderId="11" xfId="57" applyFont="1" applyBorder="1" applyAlignment="1">
      <alignment/>
    </xf>
    <xf numFmtId="9" fontId="0" fillId="0" borderId="0" xfId="57" applyFont="1" applyBorder="1" applyAlignment="1">
      <alignment/>
    </xf>
    <xf numFmtId="164" fontId="0" fillId="0" borderId="0" xfId="42" applyNumberFormat="1" applyFont="1" applyBorder="1" applyAlignment="1">
      <alignment/>
    </xf>
    <xf numFmtId="165" fontId="0" fillId="0" borderId="13" xfId="42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 horizontal="right"/>
    </xf>
    <xf numFmtId="43" fontId="0" fillId="0" borderId="0" xfId="42" applyNumberFormat="1" applyFont="1" applyBorder="1" applyAlignment="1">
      <alignment/>
    </xf>
    <xf numFmtId="165" fontId="2" fillId="0" borderId="0" xfId="0" applyNumberFormat="1" applyFont="1" applyAlignment="1">
      <alignment/>
    </xf>
    <xf numFmtId="0" fontId="0" fillId="0" borderId="15" xfId="0" applyFont="1" applyBorder="1" applyAlignment="1">
      <alignment/>
    </xf>
    <xf numFmtId="43" fontId="0" fillId="0" borderId="11" xfId="42" applyNumberFormat="1" applyFont="1" applyBorder="1" applyAlignment="1">
      <alignment/>
    </xf>
    <xf numFmtId="1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Supply and demand</a:t>
            </a:r>
          </a:p>
        </c:rich>
      </c:tx>
      <c:layout>
        <c:manualLayout>
          <c:xMode val="factor"/>
          <c:yMode val="factor"/>
          <c:x val="-0.079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1425"/>
          <c:w val="0.68575"/>
          <c:h val="0.83125"/>
        </c:manualLayout>
      </c:layout>
      <c:scatterChart>
        <c:scatterStyle val="smoothMarker"/>
        <c:varyColors val="0"/>
        <c:ser>
          <c:idx val="0"/>
          <c:order val="0"/>
          <c:tx>
            <c:v>Supply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Exports!$G$40:$G$139</c:f>
              <c:numCache/>
            </c:numRef>
          </c:xVal>
          <c:yVal>
            <c:numRef>
              <c:f>Exports!$H$40:$H$139</c:f>
              <c:numCache/>
            </c:numRef>
          </c:yVal>
          <c:smooth val="1"/>
        </c:ser>
        <c:ser>
          <c:idx val="1"/>
          <c:order val="1"/>
          <c:tx>
            <c:v>Demand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Exports!$G$40:$G$139</c:f>
              <c:numCache/>
            </c:numRef>
          </c:xVal>
          <c:yVal>
            <c:numRef>
              <c:f>Exports!$I$40:$I$139</c:f>
              <c:numCache/>
            </c:numRef>
          </c:yVal>
          <c:smooth val="1"/>
        </c:ser>
        <c:ser>
          <c:idx val="2"/>
          <c:order val="2"/>
          <c:tx>
            <c:v>Export price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Exports!$G$40:$G$139</c:f>
              <c:numCache/>
            </c:numRef>
          </c:xVal>
          <c:yVal>
            <c:numRef>
              <c:f>Exports!$J$40:$J$139</c:f>
              <c:numCache/>
            </c:numRef>
          </c:yVal>
          <c:smooth val="1"/>
        </c:ser>
        <c:ser>
          <c:idx val="3"/>
          <c:order val="3"/>
          <c:tx>
            <c:v>Supply (after)</c:v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Exports!$G$40:$G$139</c:f>
              <c:numCache/>
            </c:numRef>
          </c:xVal>
          <c:yVal>
            <c:numRef>
              <c:f>Exports!$L$40:$L$139</c:f>
              <c:numCache/>
            </c:numRef>
          </c:yVal>
          <c:smooth val="1"/>
        </c:ser>
        <c:ser>
          <c:idx val="4"/>
          <c:order val="4"/>
          <c:tx>
            <c:v>Demand (after)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Exports!$G$40:$G$139</c:f>
              <c:numCache/>
            </c:numRef>
          </c:xVal>
          <c:yVal>
            <c:numRef>
              <c:f>Exports!$M$40:$M$139</c:f>
              <c:numCache/>
            </c:numRef>
          </c:yVal>
          <c:smooth val="1"/>
        </c:ser>
        <c:ser>
          <c:idx val="5"/>
          <c:order val="5"/>
          <c:tx>
            <c:v>Export price (after)</c:v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Exports!$G$40:$G$139</c:f>
              <c:numCache/>
            </c:numRef>
          </c:xVal>
          <c:yVal>
            <c:numRef>
              <c:f>Exports!$N$40:$N$139</c:f>
              <c:numCache/>
            </c:numRef>
          </c:yVal>
          <c:smooth val="1"/>
        </c:ser>
        <c:ser>
          <c:idx val="6"/>
          <c:order val="6"/>
          <c:tx>
            <c:v>World price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Exports!$G$40:$G$139</c:f>
              <c:numCache/>
            </c:numRef>
          </c:xVal>
          <c:yVal>
            <c:numRef>
              <c:f>Exports!$O$40:$O$139</c:f>
              <c:numCache/>
            </c:numRef>
          </c:yVal>
          <c:smooth val="1"/>
        </c:ser>
        <c:axId val="15086332"/>
        <c:axId val="1559261"/>
      </c:scatterChart>
      <c:valAx>
        <c:axId val="15086332"/>
        <c:scaling>
          <c:orientation val="minMax"/>
          <c:max val="15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Quantity (1000 tons)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9261"/>
        <c:crosses val="autoZero"/>
        <c:crossBetween val="midCat"/>
        <c:dispUnits>
          <c:builtInUnit val="thousands"/>
        </c:dispUnits>
      </c:valAx>
      <c:valAx>
        <c:axId val="1559261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(US$/ton) 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863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9"/>
          <c:y val="0.146"/>
          <c:w val="0.27225"/>
          <c:h val="0.395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Supply and demand</a:t>
            </a:r>
          </a:p>
        </c:rich>
      </c:tx>
      <c:layout>
        <c:manualLayout>
          <c:xMode val="factor"/>
          <c:yMode val="factor"/>
          <c:x val="-0.079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1425"/>
          <c:w val="0.68575"/>
          <c:h val="0.83125"/>
        </c:manualLayout>
      </c:layout>
      <c:scatterChart>
        <c:scatterStyle val="smoothMarker"/>
        <c:varyColors val="0"/>
        <c:ser>
          <c:idx val="0"/>
          <c:order val="0"/>
          <c:tx>
            <c:v>Supply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Imports!$G$40:$G$139</c:f>
              <c:numCache/>
            </c:numRef>
          </c:xVal>
          <c:yVal>
            <c:numRef>
              <c:f>Imports!$H$40:$H$139</c:f>
              <c:numCache/>
            </c:numRef>
          </c:yVal>
          <c:smooth val="1"/>
        </c:ser>
        <c:ser>
          <c:idx val="1"/>
          <c:order val="1"/>
          <c:tx>
            <c:v>Demand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Imports!$G$40:$G$139</c:f>
              <c:numCache/>
            </c:numRef>
          </c:xVal>
          <c:yVal>
            <c:numRef>
              <c:f>Imports!$I$40:$I$139</c:f>
              <c:numCache/>
            </c:numRef>
          </c:yVal>
          <c:smooth val="1"/>
        </c:ser>
        <c:ser>
          <c:idx val="2"/>
          <c:order val="2"/>
          <c:tx>
            <c:v>Import price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Imports!$G$40:$G$139</c:f>
              <c:numCache/>
            </c:numRef>
          </c:xVal>
          <c:yVal>
            <c:numRef>
              <c:f>Imports!$J$40:$J$139</c:f>
              <c:numCache/>
            </c:numRef>
          </c:yVal>
          <c:smooth val="1"/>
        </c:ser>
        <c:ser>
          <c:idx val="3"/>
          <c:order val="3"/>
          <c:tx>
            <c:v>Supply (after)</c:v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Imports!$G$40:$G$139</c:f>
              <c:numCache/>
            </c:numRef>
          </c:xVal>
          <c:yVal>
            <c:numRef>
              <c:f>Imports!$L$40:$L$139</c:f>
              <c:numCache/>
            </c:numRef>
          </c:yVal>
          <c:smooth val="1"/>
        </c:ser>
        <c:ser>
          <c:idx val="4"/>
          <c:order val="4"/>
          <c:tx>
            <c:v>Demand (after)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Imports!$G$40:$G$139</c:f>
              <c:numCache/>
            </c:numRef>
          </c:xVal>
          <c:yVal>
            <c:numRef>
              <c:f>Imports!$M$40:$M$139</c:f>
              <c:numCache/>
            </c:numRef>
          </c:yVal>
          <c:smooth val="1"/>
        </c:ser>
        <c:ser>
          <c:idx val="5"/>
          <c:order val="5"/>
          <c:tx>
            <c:v>Import price (after)</c:v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Imports!$G$40:$G$139</c:f>
              <c:numCache/>
            </c:numRef>
          </c:xVal>
          <c:yVal>
            <c:numRef>
              <c:f>Imports!$N$40:$N$139</c:f>
              <c:numCache/>
            </c:numRef>
          </c:yVal>
          <c:smooth val="1"/>
        </c:ser>
        <c:ser>
          <c:idx val="6"/>
          <c:order val="6"/>
          <c:tx>
            <c:v>World price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Imports!$G$40:$G$139</c:f>
              <c:numCache/>
            </c:numRef>
          </c:xVal>
          <c:yVal>
            <c:numRef>
              <c:f>Imports!$O$40:$O$139</c:f>
              <c:numCache/>
            </c:numRef>
          </c:yVal>
          <c:smooth val="1"/>
        </c:ser>
        <c:axId val="14033350"/>
        <c:axId val="59191287"/>
      </c:scatterChart>
      <c:valAx>
        <c:axId val="14033350"/>
        <c:scaling>
          <c:orientation val="minMax"/>
          <c:max val="15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Quantity (1000 tons)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91287"/>
        <c:crosses val="autoZero"/>
        <c:crossBetween val="midCat"/>
        <c:dispUnits>
          <c:builtInUnit val="thousands"/>
        </c:dispUnits>
      </c:valAx>
      <c:valAx>
        <c:axId val="59191287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(US$/ton) 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333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9"/>
          <c:y val="0.146"/>
          <c:w val="0.27225"/>
          <c:h val="0.395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</xdr:row>
      <xdr:rowOff>47625</xdr:rowOff>
    </xdr:from>
    <xdr:to>
      <xdr:col>16</xdr:col>
      <xdr:colOff>95250</xdr:colOff>
      <xdr:row>25</xdr:row>
      <xdr:rowOff>28575</xdr:rowOff>
    </xdr:to>
    <xdr:graphicFrame>
      <xdr:nvGraphicFramePr>
        <xdr:cNvPr id="1" name="Chart 3"/>
        <xdr:cNvGraphicFramePr/>
      </xdr:nvGraphicFramePr>
      <xdr:xfrm>
        <a:off x="4219575" y="209550"/>
        <a:ext cx="60674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</xdr:row>
      <xdr:rowOff>47625</xdr:rowOff>
    </xdr:from>
    <xdr:to>
      <xdr:col>16</xdr:col>
      <xdr:colOff>95250</xdr:colOff>
      <xdr:row>25</xdr:row>
      <xdr:rowOff>28575</xdr:rowOff>
    </xdr:to>
    <xdr:graphicFrame>
      <xdr:nvGraphicFramePr>
        <xdr:cNvPr id="1" name="Chart 3"/>
        <xdr:cNvGraphicFramePr/>
      </xdr:nvGraphicFramePr>
      <xdr:xfrm>
        <a:off x="4191000" y="209550"/>
        <a:ext cx="60674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9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4.140625" style="0" customWidth="1"/>
    <col min="3" max="3" width="14.7109375" style="0" customWidth="1"/>
    <col min="4" max="4" width="13.421875" style="0" customWidth="1"/>
    <col min="5" max="5" width="10.421875" style="0" customWidth="1"/>
    <col min="6" max="6" width="9.7109375" style="0" customWidth="1"/>
    <col min="7" max="7" width="10.421875" style="0" customWidth="1"/>
    <col min="8" max="8" width="9.57421875" style="0" bestFit="1" customWidth="1"/>
    <col min="9" max="9" width="11.7109375" style="0" customWidth="1"/>
    <col min="11" max="11" width="3.421875" style="0" customWidth="1"/>
    <col min="13" max="13" width="9.28125" style="0" bestFit="1" customWidth="1"/>
    <col min="16" max="16" width="10.28125" style="0" bestFit="1" customWidth="1"/>
  </cols>
  <sheetData>
    <row r="1" ht="12.75">
      <c r="A1" s="1" t="s">
        <v>50</v>
      </c>
    </row>
    <row r="3" spans="2:3" ht="12.75">
      <c r="B3" s="9" t="s">
        <v>28</v>
      </c>
      <c r="C3" s="9"/>
    </row>
    <row r="4" spans="2:5" ht="12.75">
      <c r="B4" t="s">
        <v>7</v>
      </c>
      <c r="D4" s="55">
        <v>800000</v>
      </c>
      <c r="E4" t="s">
        <v>3</v>
      </c>
    </row>
    <row r="5" spans="2:5" ht="12.75">
      <c r="B5" t="s">
        <v>8</v>
      </c>
      <c r="D5" s="55">
        <v>300000</v>
      </c>
      <c r="E5" t="s">
        <v>3</v>
      </c>
    </row>
    <row r="6" spans="2:5" ht="12.75">
      <c r="B6" s="56" t="s">
        <v>51</v>
      </c>
      <c r="D6" s="57">
        <f>D4-D5</f>
        <v>500000</v>
      </c>
      <c r="E6" t="s">
        <v>3</v>
      </c>
    </row>
    <row r="7" spans="2:5" ht="12.75">
      <c r="B7" t="s">
        <v>38</v>
      </c>
      <c r="D7" s="55">
        <v>250</v>
      </c>
      <c r="E7" t="s">
        <v>39</v>
      </c>
    </row>
    <row r="8" spans="2:4" ht="12.75">
      <c r="B8" s="56" t="s">
        <v>52</v>
      </c>
      <c r="D8" s="58">
        <v>0</v>
      </c>
    </row>
    <row r="9" ht="12.75">
      <c r="D9" s="55"/>
    </row>
    <row r="10" spans="2:4" ht="12.75">
      <c r="B10" s="9" t="s">
        <v>29</v>
      </c>
      <c r="C10" s="9"/>
      <c r="D10" s="58"/>
    </row>
    <row r="11" spans="2:4" ht="12.75">
      <c r="B11" t="s">
        <v>1</v>
      </c>
      <c r="D11" s="59">
        <v>0.5</v>
      </c>
    </row>
    <row r="12" spans="2:4" ht="12.75">
      <c r="B12" t="s">
        <v>2</v>
      </c>
      <c r="D12" s="60">
        <v>-0.7</v>
      </c>
    </row>
    <row r="13" spans="2:4" ht="12.75">
      <c r="B13" t="s">
        <v>10</v>
      </c>
      <c r="D13" s="59">
        <v>0.4</v>
      </c>
    </row>
    <row r="14" ht="12.75">
      <c r="D14" s="40"/>
    </row>
    <row r="15" spans="2:4" ht="12.75">
      <c r="B15" s="9" t="s">
        <v>23</v>
      </c>
      <c r="C15" s="9"/>
      <c r="D15" s="59"/>
    </row>
    <row r="16" spans="2:4" ht="12.75">
      <c r="B16" s="56" t="s">
        <v>53</v>
      </c>
      <c r="D16" s="58">
        <v>0</v>
      </c>
    </row>
    <row r="17" spans="2:4" ht="12.75">
      <c r="B17" t="s">
        <v>16</v>
      </c>
      <c r="D17" s="58">
        <v>0</v>
      </c>
    </row>
    <row r="18" spans="2:4" ht="12.75">
      <c r="B18" t="s">
        <v>17</v>
      </c>
      <c r="D18" s="58">
        <v>0</v>
      </c>
    </row>
    <row r="19" spans="2:4" ht="12.75">
      <c r="B19" s="56" t="s">
        <v>54</v>
      </c>
      <c r="D19" s="58">
        <v>0</v>
      </c>
    </row>
    <row r="20" ht="12.75">
      <c r="D20" s="61"/>
    </row>
    <row r="21" spans="2:6" ht="12.75">
      <c r="B21" s="9" t="s">
        <v>30</v>
      </c>
      <c r="C21" s="9"/>
      <c r="D21" s="62" t="s">
        <v>13</v>
      </c>
      <c r="E21" s="13" t="s">
        <v>14</v>
      </c>
      <c r="F21" s="13" t="s">
        <v>27</v>
      </c>
    </row>
    <row r="22" spans="2:6" ht="12.75">
      <c r="B22" t="s">
        <v>26</v>
      </c>
      <c r="D22" s="61">
        <f>EXP(Salpha+Sbeta*LN(P))</f>
        <v>800000.0000000003</v>
      </c>
      <c r="E22" s="61">
        <f>(1+PctChSupply)*EXP(Salpha+Sbeta*LN(P_new))</f>
        <v>800000.0000000003</v>
      </c>
      <c r="F22" s="63">
        <f>E22/D22-1</f>
        <v>0</v>
      </c>
    </row>
    <row r="23" spans="2:6" ht="12.75">
      <c r="B23" t="s">
        <v>8</v>
      </c>
      <c r="D23" s="61">
        <f>EXP(Dalpha+Dbeta*LN(P)+Dgamma*LN(Y))</f>
        <v>299999.9999999999</v>
      </c>
      <c r="E23" s="61">
        <f>EXP(Dalpha+Dbeta*LN(P_new)+Dgamma*LN(Y*(1+PctChIncome)))</f>
        <v>299999.9999999999</v>
      </c>
      <c r="F23" s="63">
        <f>E23/D23-1</f>
        <v>0</v>
      </c>
    </row>
    <row r="24" spans="2:6" ht="12.75">
      <c r="B24" s="56" t="s">
        <v>51</v>
      </c>
      <c r="D24" s="64">
        <f>D22-D23</f>
        <v>500000.00000000047</v>
      </c>
      <c r="E24" s="64">
        <f>E22-E23</f>
        <v>500000.00000000047</v>
      </c>
      <c r="F24" s="63">
        <f>E24/D24-1</f>
        <v>0</v>
      </c>
    </row>
    <row r="25" spans="2:6" ht="12.75">
      <c r="B25" s="9" t="s">
        <v>0</v>
      </c>
      <c r="C25" s="9"/>
      <c r="D25" s="65">
        <f>P</f>
        <v>250</v>
      </c>
      <c r="E25" s="44">
        <f>P*(1+PctChPrice)*(1-New_tax)/(1-Initial_tax)</f>
        <v>250</v>
      </c>
      <c r="F25" s="66">
        <f>E25/D25-1</f>
        <v>0</v>
      </c>
    </row>
    <row r="26" spans="2:6" ht="12.75">
      <c r="B26" s="49" t="s">
        <v>44</v>
      </c>
      <c r="C26" s="14"/>
      <c r="D26" s="67"/>
      <c r="E26" s="68">
        <f>IF(AND(PctChSupply=0,PctChSupply=0),0.5*(Qd1+Qd0)*(P_0-P_1)/1000000,"")</f>
        <v>0</v>
      </c>
      <c r="F26" s="69" t="s">
        <v>46</v>
      </c>
    </row>
    <row r="27" spans="2:6" ht="12.75">
      <c r="B27" s="49" t="s">
        <v>45</v>
      </c>
      <c r="C27" s="14"/>
      <c r="D27" s="67"/>
      <c r="E27" s="68">
        <f>IF(AND(PctChIncome=0,PctChSupply=0),0.5*(Qs0+Qs1)*(P_1-P_0)/1000000,"")</f>
        <v>0</v>
      </c>
      <c r="F27" s="69" t="s">
        <v>46</v>
      </c>
    </row>
    <row r="28" spans="2:6" ht="12.75">
      <c r="B28" s="54" t="s">
        <v>55</v>
      </c>
      <c r="C28" s="14"/>
      <c r="D28" s="67"/>
      <c r="E28" s="68">
        <f>E26+E27</f>
        <v>0</v>
      </c>
      <c r="F28" s="69" t="s">
        <v>46</v>
      </c>
    </row>
    <row r="29" spans="2:6" ht="12.75">
      <c r="B29" s="70" t="s">
        <v>56</v>
      </c>
      <c r="C29" s="9"/>
      <c r="D29" s="65"/>
      <c r="E29" s="71">
        <f>(X_1*P*(1/(1-Initial_tax))*(1+PctChPrice)*New_tax-X_0*P*(1/(1-Initial_tax))*Initial_tax)/1000000</f>
        <v>0</v>
      </c>
      <c r="F29" s="72" t="s">
        <v>46</v>
      </c>
    </row>
    <row r="30" spans="2:6" ht="12.75">
      <c r="B30" s="49" t="s">
        <v>47</v>
      </c>
      <c r="C30" s="14"/>
      <c r="D30" s="67"/>
      <c r="E30" s="48"/>
      <c r="F30" s="73"/>
    </row>
    <row r="31" spans="2:6" ht="12.75">
      <c r="B31" s="14"/>
      <c r="C31" s="14"/>
      <c r="D31" s="67"/>
      <c r="E31" s="67"/>
      <c r="F31" s="73"/>
    </row>
    <row r="32" spans="1:15" ht="13.5" thickBot="1">
      <c r="A32" s="8"/>
      <c r="B32" s="8" t="s">
        <v>36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4" ht="13.5" thickTop="1">
      <c r="A33" s="14"/>
      <c r="B33" s="14"/>
      <c r="C33" s="14"/>
      <c r="D33" s="74"/>
      <c r="E33" s="17"/>
      <c r="F33" s="73"/>
      <c r="G33" s="14"/>
      <c r="H33" s="14"/>
      <c r="I33" s="14"/>
      <c r="J33" s="14"/>
      <c r="K33" s="14"/>
      <c r="L33" s="14"/>
      <c r="M33" s="14"/>
      <c r="N33" s="14"/>
    </row>
    <row r="34" spans="1:14" ht="12.75">
      <c r="A34" s="14"/>
      <c r="B34" t="s">
        <v>33</v>
      </c>
      <c r="C34" s="14"/>
      <c r="D34" s="74"/>
      <c r="E34" s="17"/>
      <c r="F34" s="73"/>
      <c r="G34" s="14"/>
      <c r="H34" s="14"/>
      <c r="I34" s="14"/>
      <c r="J34" s="14"/>
      <c r="K34" s="14"/>
      <c r="L34" s="14"/>
      <c r="M34" s="14"/>
      <c r="N34" s="14"/>
    </row>
    <row r="35" spans="2:6" ht="12.75">
      <c r="B35" s="14"/>
      <c r="C35" s="14"/>
      <c r="D35" s="67"/>
      <c r="E35" s="14"/>
      <c r="F35" s="14"/>
    </row>
    <row r="36" spans="2:15" ht="12.75">
      <c r="B36" s="20" t="s">
        <v>34</v>
      </c>
      <c r="C36" s="21"/>
      <c r="D36" s="75"/>
      <c r="E36" s="23"/>
      <c r="G36" s="20" t="s">
        <v>35</v>
      </c>
      <c r="H36" s="21"/>
      <c r="I36" s="21"/>
      <c r="J36" s="21"/>
      <c r="K36" s="21"/>
      <c r="L36" s="21"/>
      <c r="M36" s="21"/>
      <c r="N36" s="21"/>
      <c r="O36" s="76"/>
    </row>
    <row r="37" spans="2:15" ht="12.75">
      <c r="B37" s="24"/>
      <c r="C37" s="14"/>
      <c r="D37" s="67"/>
      <c r="E37" s="25"/>
      <c r="G37" s="24"/>
      <c r="H37" s="9"/>
      <c r="I37" s="10" t="s">
        <v>13</v>
      </c>
      <c r="J37" s="9"/>
      <c r="K37" s="14"/>
      <c r="L37" s="9"/>
      <c r="M37" s="10" t="s">
        <v>14</v>
      </c>
      <c r="N37" s="9"/>
      <c r="O37" s="77" t="s">
        <v>42</v>
      </c>
    </row>
    <row r="38" spans="2:15" ht="12.75">
      <c r="B38" s="26" t="s">
        <v>24</v>
      </c>
      <c r="C38" s="9"/>
      <c r="D38" s="67"/>
      <c r="E38" s="25"/>
      <c r="G38" s="31" t="s">
        <v>6</v>
      </c>
      <c r="H38" s="32" t="s">
        <v>11</v>
      </c>
      <c r="I38" s="32" t="s">
        <v>12</v>
      </c>
      <c r="J38" s="32" t="s">
        <v>0</v>
      </c>
      <c r="K38" s="14"/>
      <c r="L38" s="32" t="s">
        <v>11</v>
      </c>
      <c r="M38" s="32" t="s">
        <v>12</v>
      </c>
      <c r="N38" s="32" t="s">
        <v>0</v>
      </c>
      <c r="O38" s="77" t="s">
        <v>43</v>
      </c>
    </row>
    <row r="39" spans="2:16" ht="12.75">
      <c r="B39" s="24" t="s">
        <v>21</v>
      </c>
      <c r="C39" s="14"/>
      <c r="D39" s="67"/>
      <c r="E39" s="25"/>
      <c r="G39" s="31"/>
      <c r="H39" s="32"/>
      <c r="I39" s="14"/>
      <c r="J39" s="14"/>
      <c r="K39" s="14"/>
      <c r="L39" s="14"/>
      <c r="M39" s="14"/>
      <c r="N39" s="14"/>
      <c r="O39" s="25"/>
      <c r="P39" s="56" t="s">
        <v>40</v>
      </c>
    </row>
    <row r="40" spans="2:16" ht="12.75">
      <c r="B40" s="24" t="s">
        <v>4</v>
      </c>
      <c r="C40" s="14"/>
      <c r="D40" s="78">
        <f>LN(Qs)-Es*LN(P)</f>
        <v>10.831636547718942</v>
      </c>
      <c r="E40" s="25"/>
      <c r="F40">
        <v>1</v>
      </c>
      <c r="G40" s="33">
        <f aca="true" t="shared" si="0" ref="G40:G71">F40*P$40</f>
        <v>15000</v>
      </c>
      <c r="H40" s="34"/>
      <c r="I40" s="67"/>
      <c r="J40" s="14">
        <f aca="true" t="shared" si="1" ref="J40:J71">P</f>
        <v>250</v>
      </c>
      <c r="K40" s="14"/>
      <c r="L40" s="14"/>
      <c r="M40" s="14"/>
      <c r="N40" s="17">
        <f aca="true" t="shared" si="2" ref="N40:N71">P_new</f>
        <v>250</v>
      </c>
      <c r="O40" s="25">
        <f aca="true" t="shared" si="3" ref="O40:O71">P/(1-Initial_tax)</f>
        <v>250</v>
      </c>
      <c r="P40" s="61">
        <v>15000</v>
      </c>
    </row>
    <row r="41" spans="2:16" ht="12.75">
      <c r="B41" s="24" t="s">
        <v>5</v>
      </c>
      <c r="C41" s="14"/>
      <c r="D41" s="78">
        <f>Es</f>
        <v>0.5</v>
      </c>
      <c r="E41" s="25"/>
      <c r="F41">
        <f aca="true" t="shared" si="4" ref="F41:F72">1+F40</f>
        <v>2</v>
      </c>
      <c r="G41" s="33">
        <f t="shared" si="0"/>
        <v>30000</v>
      </c>
      <c r="H41" s="34"/>
      <c r="I41" s="67"/>
      <c r="J41" s="14">
        <f t="shared" si="1"/>
        <v>250</v>
      </c>
      <c r="K41" s="14"/>
      <c r="L41" s="14"/>
      <c r="M41" s="14"/>
      <c r="N41" s="17">
        <f t="shared" si="2"/>
        <v>250</v>
      </c>
      <c r="O41" s="25">
        <f t="shared" si="3"/>
        <v>250</v>
      </c>
      <c r="P41" s="79"/>
    </row>
    <row r="42" spans="2:15" ht="12.75">
      <c r="B42" s="24"/>
      <c r="C42" s="14"/>
      <c r="D42" s="67"/>
      <c r="E42" s="25"/>
      <c r="F42">
        <f t="shared" si="4"/>
        <v>3</v>
      </c>
      <c r="G42" s="33">
        <f t="shared" si="0"/>
        <v>45000</v>
      </c>
      <c r="H42" s="34"/>
      <c r="I42" s="67"/>
      <c r="J42" s="14">
        <f t="shared" si="1"/>
        <v>250</v>
      </c>
      <c r="K42" s="14"/>
      <c r="L42" s="14"/>
      <c r="M42" s="14"/>
      <c r="N42" s="17">
        <f t="shared" si="2"/>
        <v>250</v>
      </c>
      <c r="O42" s="25">
        <f t="shared" si="3"/>
        <v>250</v>
      </c>
    </row>
    <row r="43" spans="2:15" ht="12.75">
      <c r="B43" s="26" t="s">
        <v>25</v>
      </c>
      <c r="C43" s="9"/>
      <c r="D43" s="14"/>
      <c r="E43" s="25"/>
      <c r="F43">
        <f t="shared" si="4"/>
        <v>4</v>
      </c>
      <c r="G43" s="33">
        <f t="shared" si="0"/>
        <v>60000</v>
      </c>
      <c r="H43" s="34"/>
      <c r="I43" s="67"/>
      <c r="J43" s="14">
        <f t="shared" si="1"/>
        <v>250</v>
      </c>
      <c r="K43" s="14"/>
      <c r="L43" s="14"/>
      <c r="M43" s="14"/>
      <c r="N43" s="17">
        <f t="shared" si="2"/>
        <v>250</v>
      </c>
      <c r="O43" s="25">
        <f t="shared" si="3"/>
        <v>250</v>
      </c>
    </row>
    <row r="44" spans="2:15" ht="12.75">
      <c r="B44" s="24" t="s">
        <v>22</v>
      </c>
      <c r="C44" s="14"/>
      <c r="D44" s="14"/>
      <c r="E44" s="25"/>
      <c r="F44">
        <f t="shared" si="4"/>
        <v>5</v>
      </c>
      <c r="G44" s="33">
        <f t="shared" si="0"/>
        <v>75000</v>
      </c>
      <c r="H44" s="34"/>
      <c r="I44" s="67"/>
      <c r="J44" s="14">
        <f t="shared" si="1"/>
        <v>250</v>
      </c>
      <c r="K44" s="14"/>
      <c r="L44" s="14"/>
      <c r="M44" s="14"/>
      <c r="N44" s="17">
        <f t="shared" si="2"/>
        <v>250</v>
      </c>
      <c r="O44" s="25">
        <f t="shared" si="3"/>
        <v>250</v>
      </c>
    </row>
    <row r="45" spans="2:15" ht="12.75">
      <c r="B45" s="80" t="s">
        <v>41</v>
      </c>
      <c r="C45" s="14"/>
      <c r="D45" s="67">
        <v>500</v>
      </c>
      <c r="E45" s="25"/>
      <c r="F45">
        <f t="shared" si="4"/>
        <v>6</v>
      </c>
      <c r="G45" s="33">
        <f t="shared" si="0"/>
        <v>90000</v>
      </c>
      <c r="H45" s="34"/>
      <c r="I45" s="67"/>
      <c r="J45" s="14">
        <f t="shared" si="1"/>
        <v>250</v>
      </c>
      <c r="K45" s="14"/>
      <c r="L45" s="14"/>
      <c r="M45" s="14"/>
      <c r="N45" s="17">
        <f t="shared" si="2"/>
        <v>250</v>
      </c>
      <c r="O45" s="25">
        <f t="shared" si="3"/>
        <v>250</v>
      </c>
    </row>
    <row r="46" spans="2:15" ht="12.75">
      <c r="B46" s="24" t="s">
        <v>18</v>
      </c>
      <c r="C46" s="14"/>
      <c r="D46" s="28">
        <f>LN(Qd)-Dbeta*LN(P)-Dgamma*LN(Y)</f>
        <v>13.990717156773034</v>
      </c>
      <c r="E46" s="25"/>
      <c r="F46">
        <f t="shared" si="4"/>
        <v>7</v>
      </c>
      <c r="G46" s="33">
        <f t="shared" si="0"/>
        <v>105000</v>
      </c>
      <c r="H46" s="34"/>
      <c r="I46" s="67"/>
      <c r="J46" s="14">
        <f t="shared" si="1"/>
        <v>250</v>
      </c>
      <c r="K46" s="14"/>
      <c r="L46" s="14"/>
      <c r="M46" s="14"/>
      <c r="N46" s="17">
        <f t="shared" si="2"/>
        <v>250</v>
      </c>
      <c r="O46" s="25">
        <f t="shared" si="3"/>
        <v>250</v>
      </c>
    </row>
    <row r="47" spans="2:15" ht="12.75">
      <c r="B47" s="24" t="s">
        <v>19</v>
      </c>
      <c r="C47" s="14"/>
      <c r="D47" s="28">
        <f>Edp</f>
        <v>-0.7</v>
      </c>
      <c r="E47" s="25"/>
      <c r="F47">
        <f t="shared" si="4"/>
        <v>8</v>
      </c>
      <c r="G47" s="33">
        <f t="shared" si="0"/>
        <v>120000</v>
      </c>
      <c r="H47" s="34"/>
      <c r="I47" s="67"/>
      <c r="J47" s="14">
        <f t="shared" si="1"/>
        <v>250</v>
      </c>
      <c r="K47" s="14"/>
      <c r="L47" s="14"/>
      <c r="M47" s="14"/>
      <c r="N47" s="17">
        <f t="shared" si="2"/>
        <v>250</v>
      </c>
      <c r="O47" s="25">
        <f t="shared" si="3"/>
        <v>250</v>
      </c>
    </row>
    <row r="48" spans="2:15" ht="12.75">
      <c r="B48" s="24" t="s">
        <v>20</v>
      </c>
      <c r="C48" s="14"/>
      <c r="D48" s="78">
        <f>Edy</f>
        <v>0.4</v>
      </c>
      <c r="E48" s="25"/>
      <c r="F48">
        <f t="shared" si="4"/>
        <v>9</v>
      </c>
      <c r="G48" s="33">
        <f t="shared" si="0"/>
        <v>135000</v>
      </c>
      <c r="H48" s="34"/>
      <c r="I48" s="67"/>
      <c r="J48" s="14">
        <f t="shared" si="1"/>
        <v>250</v>
      </c>
      <c r="K48" s="14"/>
      <c r="L48" s="14"/>
      <c r="M48" s="14"/>
      <c r="N48" s="17">
        <f t="shared" si="2"/>
        <v>250</v>
      </c>
      <c r="O48" s="25">
        <f t="shared" si="3"/>
        <v>250</v>
      </c>
    </row>
    <row r="49" spans="2:15" ht="12.75">
      <c r="B49" s="26"/>
      <c r="C49" s="9"/>
      <c r="D49" s="81"/>
      <c r="E49" s="30"/>
      <c r="F49">
        <f t="shared" si="4"/>
        <v>10</v>
      </c>
      <c r="G49" s="33">
        <f t="shared" si="0"/>
        <v>150000</v>
      </c>
      <c r="H49" s="34">
        <f aca="true" t="shared" si="5" ref="H49:H80">EXP((LN($G49)-Salpha)/Sbeta)</f>
        <v>8.78906249999998</v>
      </c>
      <c r="I49" s="67">
        <f aca="true" t="shared" si="6" ref="I49:I80">EXP((LN($G49)-Dalpha-Dgamma*LN(Y))/Dbeta)</f>
        <v>672.9500963161786</v>
      </c>
      <c r="J49" s="14">
        <f t="shared" si="1"/>
        <v>250</v>
      </c>
      <c r="K49" s="14"/>
      <c r="L49" s="34">
        <f aca="true" t="shared" si="7" ref="L49:L80">EXP((LN($G49/(1+D$18))-Salpha)/Sbeta)</f>
        <v>8.78906249999998</v>
      </c>
      <c r="M49" s="67">
        <f aca="true" t="shared" si="8" ref="M49:M80">EXP((LN($G49)-Dalpha-Dgamma*LN(Y*(1+D$17)))/Dbeta)</f>
        <v>672.9500963161786</v>
      </c>
      <c r="N49" s="17">
        <f t="shared" si="2"/>
        <v>250</v>
      </c>
      <c r="O49" s="25">
        <f t="shared" si="3"/>
        <v>250</v>
      </c>
    </row>
    <row r="50" spans="4:15" ht="12.75">
      <c r="D50" s="61"/>
      <c r="F50">
        <f t="shared" si="4"/>
        <v>11</v>
      </c>
      <c r="G50" s="33">
        <f t="shared" si="0"/>
        <v>165000</v>
      </c>
      <c r="H50" s="34">
        <f t="shared" si="5"/>
        <v>10.634765624999993</v>
      </c>
      <c r="I50" s="67">
        <f t="shared" si="6"/>
        <v>587.2870875034404</v>
      </c>
      <c r="J50" s="14">
        <f t="shared" si="1"/>
        <v>250</v>
      </c>
      <c r="K50" s="14"/>
      <c r="L50" s="34">
        <f t="shared" si="7"/>
        <v>10.634765624999993</v>
      </c>
      <c r="M50" s="67">
        <f t="shared" si="8"/>
        <v>587.2870875034404</v>
      </c>
      <c r="N50" s="17">
        <f t="shared" si="2"/>
        <v>250</v>
      </c>
      <c r="O50" s="25">
        <f t="shared" si="3"/>
        <v>250</v>
      </c>
    </row>
    <row r="51" spans="4:15" ht="12.75">
      <c r="D51" s="61"/>
      <c r="F51">
        <f t="shared" si="4"/>
        <v>12</v>
      </c>
      <c r="G51" s="33">
        <f t="shared" si="0"/>
        <v>180000</v>
      </c>
      <c r="H51" s="34">
        <f t="shared" si="5"/>
        <v>12.656249999999979</v>
      </c>
      <c r="I51" s="67">
        <f t="shared" si="6"/>
        <v>518.6409377485307</v>
      </c>
      <c r="J51" s="14">
        <f t="shared" si="1"/>
        <v>250</v>
      </c>
      <c r="K51" s="14"/>
      <c r="L51" s="34">
        <f t="shared" si="7"/>
        <v>12.656249999999979</v>
      </c>
      <c r="M51" s="67">
        <f t="shared" si="8"/>
        <v>518.6409377485307</v>
      </c>
      <c r="N51" s="17">
        <f t="shared" si="2"/>
        <v>250</v>
      </c>
      <c r="O51" s="25">
        <f t="shared" si="3"/>
        <v>250</v>
      </c>
    </row>
    <row r="52" spans="4:15" ht="12.75">
      <c r="D52" s="82"/>
      <c r="F52">
        <f t="shared" si="4"/>
        <v>13</v>
      </c>
      <c r="G52" s="33">
        <f t="shared" si="0"/>
        <v>195000</v>
      </c>
      <c r="H52" s="34">
        <f t="shared" si="5"/>
        <v>14.853515624999973</v>
      </c>
      <c r="I52" s="67">
        <f t="shared" si="6"/>
        <v>462.60107966861403</v>
      </c>
      <c r="J52" s="14">
        <f t="shared" si="1"/>
        <v>250</v>
      </c>
      <c r="K52" s="14"/>
      <c r="L52" s="34">
        <f t="shared" si="7"/>
        <v>14.853515624999973</v>
      </c>
      <c r="M52" s="67">
        <f t="shared" si="8"/>
        <v>462.60107966861403</v>
      </c>
      <c r="N52" s="17">
        <f t="shared" si="2"/>
        <v>250</v>
      </c>
      <c r="O52" s="25">
        <f t="shared" si="3"/>
        <v>250</v>
      </c>
    </row>
    <row r="53" spans="6:15" ht="12.75">
      <c r="F53">
        <f t="shared" si="4"/>
        <v>14</v>
      </c>
      <c r="G53" s="33">
        <f t="shared" si="0"/>
        <v>210000</v>
      </c>
      <c r="H53" s="34">
        <f t="shared" si="5"/>
        <v>17.226562499999993</v>
      </c>
      <c r="I53" s="67">
        <f t="shared" si="6"/>
        <v>416.12951754628443</v>
      </c>
      <c r="J53" s="14">
        <f t="shared" si="1"/>
        <v>250</v>
      </c>
      <c r="K53" s="14"/>
      <c r="L53" s="34">
        <f t="shared" si="7"/>
        <v>17.226562499999993</v>
      </c>
      <c r="M53" s="67">
        <f t="shared" si="8"/>
        <v>416.12951754628443</v>
      </c>
      <c r="N53" s="17">
        <f t="shared" si="2"/>
        <v>250</v>
      </c>
      <c r="O53" s="25">
        <f t="shared" si="3"/>
        <v>250</v>
      </c>
    </row>
    <row r="54" spans="6:15" ht="12.75">
      <c r="F54">
        <f t="shared" si="4"/>
        <v>15</v>
      </c>
      <c r="G54" s="33">
        <f t="shared" si="0"/>
        <v>225000</v>
      </c>
      <c r="H54" s="34">
        <f t="shared" si="5"/>
        <v>19.775390625</v>
      </c>
      <c r="I54" s="67">
        <f t="shared" si="6"/>
        <v>377.07168191476524</v>
      </c>
      <c r="J54" s="14">
        <f t="shared" si="1"/>
        <v>250</v>
      </c>
      <c r="K54" s="14"/>
      <c r="L54" s="34">
        <f t="shared" si="7"/>
        <v>19.775390625</v>
      </c>
      <c r="M54" s="67">
        <f t="shared" si="8"/>
        <v>377.07168191476524</v>
      </c>
      <c r="N54" s="17">
        <f t="shared" si="2"/>
        <v>250</v>
      </c>
      <c r="O54" s="25">
        <f t="shared" si="3"/>
        <v>250</v>
      </c>
    </row>
    <row r="55" spans="4:15" ht="12.75">
      <c r="D55" s="6"/>
      <c r="F55">
        <f t="shared" si="4"/>
        <v>16</v>
      </c>
      <c r="G55" s="33">
        <f t="shared" si="0"/>
        <v>240000</v>
      </c>
      <c r="H55" s="34">
        <f t="shared" si="5"/>
        <v>22.499999999999996</v>
      </c>
      <c r="I55" s="67">
        <f t="shared" si="6"/>
        <v>343.8609703564041</v>
      </c>
      <c r="J55" s="14">
        <f t="shared" si="1"/>
        <v>250</v>
      </c>
      <c r="K55" s="14"/>
      <c r="L55" s="34">
        <f t="shared" si="7"/>
        <v>22.499999999999996</v>
      </c>
      <c r="M55" s="67">
        <f t="shared" si="8"/>
        <v>343.8609703564041</v>
      </c>
      <c r="N55" s="17">
        <f t="shared" si="2"/>
        <v>250</v>
      </c>
      <c r="O55" s="25">
        <f t="shared" si="3"/>
        <v>250</v>
      </c>
    </row>
    <row r="56" spans="4:15" ht="12.75">
      <c r="D56" s="5"/>
      <c r="F56">
        <f t="shared" si="4"/>
        <v>17</v>
      </c>
      <c r="G56" s="33">
        <f t="shared" si="0"/>
        <v>255000</v>
      </c>
      <c r="H56" s="34">
        <f t="shared" si="5"/>
        <v>25.400390624999936</v>
      </c>
      <c r="I56" s="67">
        <f t="shared" si="6"/>
        <v>315.3335025920187</v>
      </c>
      <c r="J56" s="14">
        <f t="shared" si="1"/>
        <v>250</v>
      </c>
      <c r="K56" s="14"/>
      <c r="L56" s="34">
        <f t="shared" si="7"/>
        <v>25.400390624999936</v>
      </c>
      <c r="M56" s="67">
        <f t="shared" si="8"/>
        <v>315.3335025920187</v>
      </c>
      <c r="N56" s="17">
        <f t="shared" si="2"/>
        <v>250</v>
      </c>
      <c r="O56" s="25">
        <f t="shared" si="3"/>
        <v>250</v>
      </c>
    </row>
    <row r="57" spans="4:15" ht="12.75">
      <c r="D57" s="7"/>
      <c r="F57">
        <f t="shared" si="4"/>
        <v>18</v>
      </c>
      <c r="G57" s="33">
        <f t="shared" si="0"/>
        <v>270000</v>
      </c>
      <c r="H57" s="34">
        <f t="shared" si="5"/>
        <v>28.476562499999915</v>
      </c>
      <c r="I57" s="67">
        <f t="shared" si="6"/>
        <v>290.60819186628953</v>
      </c>
      <c r="J57" s="14">
        <f t="shared" si="1"/>
        <v>250</v>
      </c>
      <c r="K57" s="14"/>
      <c r="L57" s="34">
        <f t="shared" si="7"/>
        <v>28.476562499999915</v>
      </c>
      <c r="M57" s="67">
        <f t="shared" si="8"/>
        <v>290.60819186628953</v>
      </c>
      <c r="N57" s="17">
        <f t="shared" si="2"/>
        <v>250</v>
      </c>
      <c r="O57" s="25">
        <f t="shared" si="3"/>
        <v>250</v>
      </c>
    </row>
    <row r="58" spans="6:15" ht="12.75">
      <c r="F58">
        <f t="shared" si="4"/>
        <v>19</v>
      </c>
      <c r="G58" s="33">
        <f t="shared" si="0"/>
        <v>285000</v>
      </c>
      <c r="H58" s="34">
        <f t="shared" si="5"/>
        <v>31.728515624999957</v>
      </c>
      <c r="I58" s="67">
        <f t="shared" si="6"/>
        <v>269.0069061524876</v>
      </c>
      <c r="J58" s="14">
        <f t="shared" si="1"/>
        <v>250</v>
      </c>
      <c r="K58" s="14"/>
      <c r="L58" s="34">
        <f t="shared" si="7"/>
        <v>31.728515624999957</v>
      </c>
      <c r="M58" s="67">
        <f t="shared" si="8"/>
        <v>269.0069061524876</v>
      </c>
      <c r="N58" s="17">
        <f t="shared" si="2"/>
        <v>250</v>
      </c>
      <c r="O58" s="25">
        <f t="shared" si="3"/>
        <v>250</v>
      </c>
    </row>
    <row r="59" spans="6:15" ht="12.75">
      <c r="F59">
        <f t="shared" si="4"/>
        <v>20</v>
      </c>
      <c r="G59" s="33">
        <f t="shared" si="0"/>
        <v>300000</v>
      </c>
      <c r="H59" s="34">
        <f t="shared" si="5"/>
        <v>35.15624999999993</v>
      </c>
      <c r="I59" s="67">
        <f t="shared" si="6"/>
        <v>250.0000000000001</v>
      </c>
      <c r="J59" s="14">
        <f t="shared" si="1"/>
        <v>250</v>
      </c>
      <c r="K59" s="14"/>
      <c r="L59" s="34">
        <f t="shared" si="7"/>
        <v>35.15624999999993</v>
      </c>
      <c r="M59" s="67">
        <f t="shared" si="8"/>
        <v>250.0000000000001</v>
      </c>
      <c r="N59" s="17">
        <f t="shared" si="2"/>
        <v>250</v>
      </c>
      <c r="O59" s="25">
        <f t="shared" si="3"/>
        <v>250</v>
      </c>
    </row>
    <row r="60" spans="6:15" ht="12.75">
      <c r="F60">
        <f t="shared" si="4"/>
        <v>21</v>
      </c>
      <c r="G60" s="33">
        <f t="shared" si="0"/>
        <v>315000</v>
      </c>
      <c r="H60" s="34">
        <f t="shared" si="5"/>
        <v>38.75976562499993</v>
      </c>
      <c r="I60" s="67">
        <f t="shared" si="6"/>
        <v>233.16834031900464</v>
      </c>
      <c r="J60" s="14">
        <f t="shared" si="1"/>
        <v>250</v>
      </c>
      <c r="K60" s="14"/>
      <c r="L60" s="34">
        <f t="shared" si="7"/>
        <v>38.75976562499993</v>
      </c>
      <c r="M60" s="67">
        <f t="shared" si="8"/>
        <v>233.16834031900464</v>
      </c>
      <c r="N60" s="17">
        <f t="shared" si="2"/>
        <v>250</v>
      </c>
      <c r="O60" s="25">
        <f t="shared" si="3"/>
        <v>250</v>
      </c>
    </row>
    <row r="61" spans="6:15" ht="12.75">
      <c r="F61">
        <f t="shared" si="4"/>
        <v>22</v>
      </c>
      <c r="G61" s="33">
        <f t="shared" si="0"/>
        <v>330000</v>
      </c>
      <c r="H61" s="34">
        <f t="shared" si="5"/>
        <v>42.53906249999998</v>
      </c>
      <c r="I61" s="67">
        <f t="shared" si="6"/>
        <v>218.17631452849605</v>
      </c>
      <c r="J61" s="14">
        <f t="shared" si="1"/>
        <v>250</v>
      </c>
      <c r="K61" s="14"/>
      <c r="L61" s="34">
        <f t="shared" si="7"/>
        <v>42.53906249999998</v>
      </c>
      <c r="M61" s="67">
        <f t="shared" si="8"/>
        <v>218.17631452849605</v>
      </c>
      <c r="N61" s="17">
        <f t="shared" si="2"/>
        <v>250</v>
      </c>
      <c r="O61" s="25">
        <f t="shared" si="3"/>
        <v>250</v>
      </c>
    </row>
    <row r="62" spans="6:15" ht="12.75">
      <c r="F62">
        <f t="shared" si="4"/>
        <v>23</v>
      </c>
      <c r="G62" s="33">
        <f t="shared" si="0"/>
        <v>345000</v>
      </c>
      <c r="H62" s="34">
        <f t="shared" si="5"/>
        <v>46.49414062499996</v>
      </c>
      <c r="I62" s="67">
        <f t="shared" si="6"/>
        <v>204.75230907096292</v>
      </c>
      <c r="J62" s="14">
        <f t="shared" si="1"/>
        <v>250</v>
      </c>
      <c r="K62" s="14"/>
      <c r="L62" s="34">
        <f t="shared" si="7"/>
        <v>46.49414062499996</v>
      </c>
      <c r="M62" s="67">
        <f t="shared" si="8"/>
        <v>204.75230907096292</v>
      </c>
      <c r="N62" s="17">
        <f t="shared" si="2"/>
        <v>250</v>
      </c>
      <c r="O62" s="25">
        <f t="shared" si="3"/>
        <v>250</v>
      </c>
    </row>
    <row r="63" spans="6:15" ht="12.75">
      <c r="F63">
        <f t="shared" si="4"/>
        <v>24</v>
      </c>
      <c r="G63" s="33">
        <f t="shared" si="0"/>
        <v>360000</v>
      </c>
      <c r="H63" s="34">
        <f t="shared" si="5"/>
        <v>50.62499999999992</v>
      </c>
      <c r="I63" s="67">
        <f t="shared" si="6"/>
        <v>192.67436790173699</v>
      </c>
      <c r="J63" s="14">
        <f t="shared" si="1"/>
        <v>250</v>
      </c>
      <c r="K63" s="14"/>
      <c r="L63" s="34">
        <f t="shared" si="7"/>
        <v>50.62499999999992</v>
      </c>
      <c r="M63" s="67">
        <f t="shared" si="8"/>
        <v>192.67436790173699</v>
      </c>
      <c r="N63" s="17">
        <f t="shared" si="2"/>
        <v>250</v>
      </c>
      <c r="O63" s="25">
        <f t="shared" si="3"/>
        <v>250</v>
      </c>
    </row>
    <row r="64" spans="6:15" ht="12.75">
      <c r="F64">
        <f t="shared" si="4"/>
        <v>25</v>
      </c>
      <c r="G64" s="33">
        <f t="shared" si="0"/>
        <v>375000</v>
      </c>
      <c r="H64" s="34">
        <f t="shared" si="5"/>
        <v>54.93164062499998</v>
      </c>
      <c r="I64" s="67">
        <f t="shared" si="6"/>
        <v>181.75950569563076</v>
      </c>
      <c r="J64" s="14">
        <f t="shared" si="1"/>
        <v>250</v>
      </c>
      <c r="K64" s="14"/>
      <c r="L64" s="34">
        <f t="shared" si="7"/>
        <v>54.93164062499998</v>
      </c>
      <c r="M64" s="67">
        <f t="shared" si="8"/>
        <v>181.75950569563076</v>
      </c>
      <c r="N64" s="17">
        <f t="shared" si="2"/>
        <v>250</v>
      </c>
      <c r="O64" s="25">
        <f t="shared" si="3"/>
        <v>250</v>
      </c>
    </row>
    <row r="65" spans="6:15" ht="12.75">
      <c r="F65">
        <f t="shared" si="4"/>
        <v>26</v>
      </c>
      <c r="G65" s="33">
        <f t="shared" si="0"/>
        <v>390000</v>
      </c>
      <c r="H65" s="34">
        <f t="shared" si="5"/>
        <v>59.4140624999999</v>
      </c>
      <c r="I65" s="67">
        <f t="shared" si="6"/>
        <v>171.85564063403666</v>
      </c>
      <c r="J65" s="14">
        <f t="shared" si="1"/>
        <v>250</v>
      </c>
      <c r="K65" s="14"/>
      <c r="L65" s="34">
        <f t="shared" si="7"/>
        <v>59.4140624999999</v>
      </c>
      <c r="M65" s="67">
        <f t="shared" si="8"/>
        <v>171.85564063403666</v>
      </c>
      <c r="N65" s="17">
        <f t="shared" si="2"/>
        <v>250</v>
      </c>
      <c r="O65" s="25">
        <f t="shared" si="3"/>
        <v>250</v>
      </c>
    </row>
    <row r="66" spans="6:15" ht="12.75">
      <c r="F66">
        <f t="shared" si="4"/>
        <v>27</v>
      </c>
      <c r="G66" s="33">
        <f t="shared" si="0"/>
        <v>405000</v>
      </c>
      <c r="H66" s="34">
        <f t="shared" si="5"/>
        <v>64.07226562499994</v>
      </c>
      <c r="I66" s="67">
        <f t="shared" si="6"/>
        <v>162.83543205519567</v>
      </c>
      <c r="J66" s="14">
        <f t="shared" si="1"/>
        <v>250</v>
      </c>
      <c r="K66" s="14"/>
      <c r="L66" s="34">
        <f t="shared" si="7"/>
        <v>64.07226562499994</v>
      </c>
      <c r="M66" s="67">
        <f t="shared" si="8"/>
        <v>162.83543205519567</v>
      </c>
      <c r="N66" s="17">
        <f t="shared" si="2"/>
        <v>250</v>
      </c>
      <c r="O66" s="25">
        <f t="shared" si="3"/>
        <v>250</v>
      </c>
    </row>
    <row r="67" spans="6:15" ht="12.75">
      <c r="F67">
        <f t="shared" si="4"/>
        <v>28</v>
      </c>
      <c r="G67" s="33">
        <f t="shared" si="0"/>
        <v>420000</v>
      </c>
      <c r="H67" s="34">
        <f t="shared" si="5"/>
        <v>68.90624999999999</v>
      </c>
      <c r="I67" s="67">
        <f t="shared" si="6"/>
        <v>154.59152165377313</v>
      </c>
      <c r="J67" s="14">
        <f t="shared" si="1"/>
        <v>250</v>
      </c>
      <c r="K67" s="14"/>
      <c r="L67" s="34">
        <f t="shared" si="7"/>
        <v>68.90624999999999</v>
      </c>
      <c r="M67" s="67">
        <f t="shared" si="8"/>
        <v>154.59152165377313</v>
      </c>
      <c r="N67" s="17">
        <f t="shared" si="2"/>
        <v>250</v>
      </c>
      <c r="O67" s="25">
        <f t="shared" si="3"/>
        <v>250</v>
      </c>
    </row>
    <row r="68" spans="6:15" ht="12.75">
      <c r="F68">
        <f t="shared" si="4"/>
        <v>29</v>
      </c>
      <c r="G68" s="33">
        <f t="shared" si="0"/>
        <v>435000</v>
      </c>
      <c r="H68" s="34">
        <f t="shared" si="5"/>
        <v>73.91601562500001</v>
      </c>
      <c r="I68" s="67">
        <f t="shared" si="6"/>
        <v>147.03282148202368</v>
      </c>
      <c r="J68" s="14">
        <f t="shared" si="1"/>
        <v>250</v>
      </c>
      <c r="K68" s="14"/>
      <c r="L68" s="34">
        <f t="shared" si="7"/>
        <v>73.91601562500001</v>
      </c>
      <c r="M68" s="67">
        <f t="shared" si="8"/>
        <v>147.03282148202368</v>
      </c>
      <c r="N68" s="17">
        <f t="shared" si="2"/>
        <v>250</v>
      </c>
      <c r="O68" s="25">
        <f t="shared" si="3"/>
        <v>250</v>
      </c>
    </row>
    <row r="69" spans="6:15" ht="12.75">
      <c r="F69">
        <f t="shared" si="4"/>
        <v>30</v>
      </c>
      <c r="G69" s="33">
        <f t="shared" si="0"/>
        <v>450000</v>
      </c>
      <c r="H69" s="34">
        <f t="shared" si="5"/>
        <v>79.10156250000001</v>
      </c>
      <c r="I69" s="67">
        <f t="shared" si="6"/>
        <v>140.08159148015122</v>
      </c>
      <c r="J69" s="14">
        <f t="shared" si="1"/>
        <v>250</v>
      </c>
      <c r="K69" s="14"/>
      <c r="L69" s="34">
        <f t="shared" si="7"/>
        <v>79.10156250000001</v>
      </c>
      <c r="M69" s="67">
        <f t="shared" si="8"/>
        <v>140.08159148015122</v>
      </c>
      <c r="N69" s="17">
        <f t="shared" si="2"/>
        <v>250</v>
      </c>
      <c r="O69" s="25">
        <f t="shared" si="3"/>
        <v>250</v>
      </c>
    </row>
    <row r="70" spans="6:15" ht="12.75">
      <c r="F70">
        <f t="shared" si="4"/>
        <v>31</v>
      </c>
      <c r="G70" s="33">
        <f t="shared" si="0"/>
        <v>465000</v>
      </c>
      <c r="H70" s="34">
        <f t="shared" si="5"/>
        <v>84.46289062499977</v>
      </c>
      <c r="I70" s="67">
        <f t="shared" si="6"/>
        <v>133.67111870496137</v>
      </c>
      <c r="J70" s="14">
        <f t="shared" si="1"/>
        <v>250</v>
      </c>
      <c r="K70" s="14"/>
      <c r="L70" s="34">
        <f t="shared" si="7"/>
        <v>84.46289062499977</v>
      </c>
      <c r="M70" s="67">
        <f t="shared" si="8"/>
        <v>133.67111870496137</v>
      </c>
      <c r="N70" s="17">
        <f t="shared" si="2"/>
        <v>250</v>
      </c>
      <c r="O70" s="25">
        <f t="shared" si="3"/>
        <v>250</v>
      </c>
    </row>
    <row r="71" spans="6:15" ht="12.75">
      <c r="F71">
        <f t="shared" si="4"/>
        <v>32</v>
      </c>
      <c r="G71" s="33">
        <f t="shared" si="0"/>
        <v>480000</v>
      </c>
      <c r="H71" s="34">
        <f t="shared" si="5"/>
        <v>90</v>
      </c>
      <c r="I71" s="67">
        <f t="shared" si="6"/>
        <v>127.74385955167645</v>
      </c>
      <c r="J71" s="14">
        <f t="shared" si="1"/>
        <v>250</v>
      </c>
      <c r="K71" s="14"/>
      <c r="L71" s="34">
        <f t="shared" si="7"/>
        <v>90</v>
      </c>
      <c r="M71" s="67">
        <f t="shared" si="8"/>
        <v>127.74385955167645</v>
      </c>
      <c r="N71" s="17">
        <f t="shared" si="2"/>
        <v>250</v>
      </c>
      <c r="O71" s="25">
        <f t="shared" si="3"/>
        <v>250</v>
      </c>
    </row>
    <row r="72" spans="6:15" ht="12.75">
      <c r="F72">
        <f t="shared" si="4"/>
        <v>33</v>
      </c>
      <c r="G72" s="33">
        <f aca="true" t="shared" si="9" ref="G72:G103">F72*P$40</f>
        <v>495000</v>
      </c>
      <c r="H72" s="34">
        <f t="shared" si="5"/>
        <v>95.71289062499983</v>
      </c>
      <c r="I72" s="67">
        <f t="shared" si="6"/>
        <v>122.2499414497032</v>
      </c>
      <c r="J72" s="14">
        <f aca="true" t="shared" si="10" ref="J72:J103">P</f>
        <v>250</v>
      </c>
      <c r="K72" s="14"/>
      <c r="L72" s="34">
        <f t="shared" si="7"/>
        <v>95.71289062499983</v>
      </c>
      <c r="M72" s="67">
        <f t="shared" si="8"/>
        <v>122.2499414497032</v>
      </c>
      <c r="N72" s="17">
        <f aca="true" t="shared" si="11" ref="N72:N103">P_new</f>
        <v>250</v>
      </c>
      <c r="O72" s="25">
        <f aca="true" t="shared" si="12" ref="O72:O103">P/(1-Initial_tax)</f>
        <v>250</v>
      </c>
    </row>
    <row r="73" spans="6:15" ht="12.75">
      <c r="F73">
        <f aca="true" t="shared" si="13" ref="F73:F104">1+F72</f>
        <v>34</v>
      </c>
      <c r="G73" s="33">
        <f t="shared" si="9"/>
        <v>510000</v>
      </c>
      <c r="H73" s="34">
        <f t="shared" si="5"/>
        <v>101.60156249999976</v>
      </c>
      <c r="I73" s="67">
        <f t="shared" si="6"/>
        <v>117.14594600632269</v>
      </c>
      <c r="J73" s="14">
        <f t="shared" si="10"/>
        <v>250</v>
      </c>
      <c r="K73" s="14"/>
      <c r="L73" s="34">
        <f t="shared" si="7"/>
        <v>101.60156249999976</v>
      </c>
      <c r="M73" s="67">
        <f t="shared" si="8"/>
        <v>117.14594600632269</v>
      </c>
      <c r="N73" s="17">
        <f t="shared" si="11"/>
        <v>250</v>
      </c>
      <c r="O73" s="25">
        <f t="shared" si="12"/>
        <v>250</v>
      </c>
    </row>
    <row r="74" spans="6:15" ht="12.75">
      <c r="F74">
        <f t="shared" si="13"/>
        <v>35</v>
      </c>
      <c r="G74" s="33">
        <f t="shared" si="9"/>
        <v>525000</v>
      </c>
      <c r="H74" s="34">
        <f t="shared" si="5"/>
        <v>107.66601562499977</v>
      </c>
      <c r="I74" s="67">
        <f t="shared" si="6"/>
        <v>112.39391424210096</v>
      </c>
      <c r="J74" s="14">
        <f t="shared" si="10"/>
        <v>250</v>
      </c>
      <c r="K74" s="14"/>
      <c r="L74" s="34">
        <f t="shared" si="7"/>
        <v>107.66601562499977</v>
      </c>
      <c r="M74" s="67">
        <f t="shared" si="8"/>
        <v>112.39391424210096</v>
      </c>
      <c r="N74" s="17">
        <f t="shared" si="11"/>
        <v>250</v>
      </c>
      <c r="O74" s="25">
        <f t="shared" si="12"/>
        <v>250</v>
      </c>
    </row>
    <row r="75" spans="6:15" ht="12.75">
      <c r="F75">
        <f t="shared" si="13"/>
        <v>36</v>
      </c>
      <c r="G75" s="33">
        <f t="shared" si="9"/>
        <v>540000</v>
      </c>
      <c r="H75" s="34">
        <f t="shared" si="5"/>
        <v>113.90624999999967</v>
      </c>
      <c r="I75" s="67">
        <f t="shared" si="6"/>
        <v>107.96052837243016</v>
      </c>
      <c r="J75" s="14">
        <f t="shared" si="10"/>
        <v>250</v>
      </c>
      <c r="K75" s="14"/>
      <c r="L75" s="34">
        <f t="shared" si="7"/>
        <v>113.90624999999967</v>
      </c>
      <c r="M75" s="67">
        <f t="shared" si="8"/>
        <v>107.96052837243016</v>
      </c>
      <c r="N75" s="17">
        <f t="shared" si="11"/>
        <v>250</v>
      </c>
      <c r="O75" s="25">
        <f t="shared" si="12"/>
        <v>250</v>
      </c>
    </row>
    <row r="76" spans="6:15" ht="12.75">
      <c r="F76">
        <f t="shared" si="13"/>
        <v>37</v>
      </c>
      <c r="G76" s="33">
        <f t="shared" si="9"/>
        <v>555000</v>
      </c>
      <c r="H76" s="34">
        <f t="shared" si="5"/>
        <v>120.32226562499976</v>
      </c>
      <c r="I76" s="67">
        <f t="shared" si="6"/>
        <v>103.81643490228406</v>
      </c>
      <c r="J76" s="14">
        <f t="shared" si="10"/>
        <v>250</v>
      </c>
      <c r="K76" s="14"/>
      <c r="L76" s="34">
        <f t="shared" si="7"/>
        <v>120.32226562499976</v>
      </c>
      <c r="M76" s="67">
        <f t="shared" si="8"/>
        <v>103.81643490228406</v>
      </c>
      <c r="N76" s="17">
        <f t="shared" si="11"/>
        <v>250</v>
      </c>
      <c r="O76" s="25">
        <f t="shared" si="12"/>
        <v>250</v>
      </c>
    </row>
    <row r="77" spans="6:15" ht="12.75">
      <c r="F77">
        <f t="shared" si="13"/>
        <v>38</v>
      </c>
      <c r="G77" s="33">
        <f t="shared" si="9"/>
        <v>570000</v>
      </c>
      <c r="H77" s="34">
        <f t="shared" si="5"/>
        <v>126.91406249999986</v>
      </c>
      <c r="I77" s="67">
        <f t="shared" si="6"/>
        <v>99.93568157024887</v>
      </c>
      <c r="J77" s="14">
        <f t="shared" si="10"/>
        <v>250</v>
      </c>
      <c r="K77" s="14"/>
      <c r="L77" s="34">
        <f t="shared" si="7"/>
        <v>126.91406249999986</v>
      </c>
      <c r="M77" s="67">
        <f t="shared" si="8"/>
        <v>99.93568157024887</v>
      </c>
      <c r="N77" s="17">
        <f t="shared" si="11"/>
        <v>250</v>
      </c>
      <c r="O77" s="25">
        <f t="shared" si="12"/>
        <v>250</v>
      </c>
    </row>
    <row r="78" spans="6:15" ht="12.75">
      <c r="F78">
        <f t="shared" si="13"/>
        <v>39</v>
      </c>
      <c r="G78" s="33">
        <f t="shared" si="9"/>
        <v>585000</v>
      </c>
      <c r="H78" s="34">
        <f t="shared" si="5"/>
        <v>133.6816406249996</v>
      </c>
      <c r="I78" s="67">
        <f t="shared" si="6"/>
        <v>96.29524657942741</v>
      </c>
      <c r="J78" s="14">
        <f t="shared" si="10"/>
        <v>250</v>
      </c>
      <c r="K78" s="14"/>
      <c r="L78" s="34">
        <f t="shared" si="7"/>
        <v>133.6816406249996</v>
      </c>
      <c r="M78" s="67">
        <f t="shared" si="8"/>
        <v>96.29524657942741</v>
      </c>
      <c r="N78" s="17">
        <f t="shared" si="11"/>
        <v>250</v>
      </c>
      <c r="O78" s="25">
        <f t="shared" si="12"/>
        <v>250</v>
      </c>
    </row>
    <row r="79" spans="6:15" ht="12.75">
      <c r="F79">
        <f t="shared" si="13"/>
        <v>40</v>
      </c>
      <c r="G79" s="33">
        <f t="shared" si="9"/>
        <v>600000</v>
      </c>
      <c r="H79" s="34">
        <f t="shared" si="5"/>
        <v>140.62499999999974</v>
      </c>
      <c r="I79" s="67">
        <f t="shared" si="6"/>
        <v>92.87464307105928</v>
      </c>
      <c r="J79" s="14">
        <f t="shared" si="10"/>
        <v>250</v>
      </c>
      <c r="K79" s="14"/>
      <c r="L79" s="34">
        <f t="shared" si="7"/>
        <v>140.62499999999974</v>
      </c>
      <c r="M79" s="67">
        <f t="shared" si="8"/>
        <v>92.87464307105928</v>
      </c>
      <c r="N79" s="17">
        <f t="shared" si="11"/>
        <v>250</v>
      </c>
      <c r="O79" s="25">
        <f t="shared" si="12"/>
        <v>250</v>
      </c>
    </row>
    <row r="80" spans="6:15" ht="12.75">
      <c r="F80">
        <f t="shared" si="13"/>
        <v>41</v>
      </c>
      <c r="G80" s="33">
        <f t="shared" si="9"/>
        <v>615000</v>
      </c>
      <c r="H80" s="34">
        <f t="shared" si="5"/>
        <v>147.74414062499963</v>
      </c>
      <c r="I80" s="67">
        <f t="shared" si="6"/>
        <v>89.65558528156274</v>
      </c>
      <c r="J80" s="14">
        <f t="shared" si="10"/>
        <v>250</v>
      </c>
      <c r="K80" s="14"/>
      <c r="L80" s="34">
        <f t="shared" si="7"/>
        <v>147.74414062499963</v>
      </c>
      <c r="M80" s="67">
        <f t="shared" si="8"/>
        <v>89.65558528156274</v>
      </c>
      <c r="N80" s="17">
        <f t="shared" si="11"/>
        <v>250</v>
      </c>
      <c r="O80" s="25">
        <f t="shared" si="12"/>
        <v>250</v>
      </c>
    </row>
    <row r="81" spans="6:15" ht="12.75">
      <c r="F81">
        <f t="shared" si="13"/>
        <v>42</v>
      </c>
      <c r="G81" s="33">
        <f t="shared" si="9"/>
        <v>630000</v>
      </c>
      <c r="H81" s="34">
        <f aca="true" t="shared" si="14" ref="H81:H112">EXP((LN($G81)-Salpha)/Sbeta)</f>
        <v>155.03906249999974</v>
      </c>
      <c r="I81" s="67">
        <f aca="true" t="shared" si="15" ref="I81:I112">EXP((LN($G81)-Dalpha-Dgamma*LN(Y))/Dbeta)</f>
        <v>86.62170553039532</v>
      </c>
      <c r="J81" s="14">
        <f t="shared" si="10"/>
        <v>250</v>
      </c>
      <c r="K81" s="14"/>
      <c r="L81" s="34">
        <f aca="true" t="shared" si="16" ref="L81:L112">EXP((LN($G81/(1+D$18))-Salpha)/Sbeta)</f>
        <v>155.03906249999974</v>
      </c>
      <c r="M81" s="67">
        <f aca="true" t="shared" si="17" ref="M81:M112">EXP((LN($G81)-Dalpha-Dgamma*LN(Y*(1+D$17)))/Dbeta)</f>
        <v>86.62170553039532</v>
      </c>
      <c r="N81" s="17">
        <f t="shared" si="11"/>
        <v>250</v>
      </c>
      <c r="O81" s="25">
        <f t="shared" si="12"/>
        <v>250</v>
      </c>
    </row>
    <row r="82" spans="6:15" ht="12.75">
      <c r="F82">
        <f t="shared" si="13"/>
        <v>43</v>
      </c>
      <c r="G82" s="33">
        <f t="shared" si="9"/>
        <v>645000</v>
      </c>
      <c r="H82" s="34">
        <f t="shared" si="14"/>
        <v>162.5097656249997</v>
      </c>
      <c r="I82" s="67">
        <f t="shared" si="15"/>
        <v>83.7583133024245</v>
      </c>
      <c r="J82" s="14">
        <f t="shared" si="10"/>
        <v>250</v>
      </c>
      <c r="K82" s="14"/>
      <c r="L82" s="34">
        <f t="shared" si="16"/>
        <v>162.5097656249997</v>
      </c>
      <c r="M82" s="67">
        <f t="shared" si="17"/>
        <v>83.7583133024245</v>
      </c>
      <c r="N82" s="17">
        <f t="shared" si="11"/>
        <v>250</v>
      </c>
      <c r="O82" s="25">
        <f t="shared" si="12"/>
        <v>250</v>
      </c>
    </row>
    <row r="83" spans="6:15" ht="12.75">
      <c r="F83">
        <f t="shared" si="13"/>
        <v>44</v>
      </c>
      <c r="G83" s="33">
        <f t="shared" si="9"/>
        <v>660000</v>
      </c>
      <c r="H83" s="34">
        <f t="shared" si="14"/>
        <v>170.15624999999994</v>
      </c>
      <c r="I83" s="67">
        <f t="shared" si="15"/>
        <v>81.0521893535729</v>
      </c>
      <c r="J83" s="14">
        <f t="shared" si="10"/>
        <v>250</v>
      </c>
      <c r="K83" s="14"/>
      <c r="L83" s="34">
        <f t="shared" si="16"/>
        <v>170.15624999999994</v>
      </c>
      <c r="M83" s="67">
        <f t="shared" si="17"/>
        <v>81.0521893535729</v>
      </c>
      <c r="N83" s="17">
        <f t="shared" si="11"/>
        <v>250</v>
      </c>
      <c r="O83" s="25">
        <f t="shared" si="12"/>
        <v>250</v>
      </c>
    </row>
    <row r="84" spans="6:15" ht="12.75">
      <c r="F84">
        <f t="shared" si="13"/>
        <v>45</v>
      </c>
      <c r="G84" s="33">
        <f t="shared" si="9"/>
        <v>675000</v>
      </c>
      <c r="H84" s="34">
        <f t="shared" si="14"/>
        <v>177.9785156249998</v>
      </c>
      <c r="I84" s="67">
        <f t="shared" si="15"/>
        <v>78.491409086448</v>
      </c>
      <c r="J84" s="14">
        <f t="shared" si="10"/>
        <v>250</v>
      </c>
      <c r="K84" s="14"/>
      <c r="L84" s="34">
        <f t="shared" si="16"/>
        <v>177.9785156249998</v>
      </c>
      <c r="M84" s="67">
        <f t="shared" si="17"/>
        <v>78.491409086448</v>
      </c>
      <c r="N84" s="17">
        <f t="shared" si="11"/>
        <v>250</v>
      </c>
      <c r="O84" s="25">
        <f t="shared" si="12"/>
        <v>250</v>
      </c>
    </row>
    <row r="85" spans="6:15" ht="12.75">
      <c r="F85">
        <f t="shared" si="13"/>
        <v>46</v>
      </c>
      <c r="G85" s="33">
        <f t="shared" si="9"/>
        <v>690000</v>
      </c>
      <c r="H85" s="34">
        <f t="shared" si="14"/>
        <v>185.97656249999986</v>
      </c>
      <c r="I85" s="67">
        <f t="shared" si="15"/>
        <v>76.06519049176354</v>
      </c>
      <c r="J85" s="14">
        <f t="shared" si="10"/>
        <v>250</v>
      </c>
      <c r="K85" s="14"/>
      <c r="L85" s="34">
        <f t="shared" si="16"/>
        <v>185.97656249999986</v>
      </c>
      <c r="M85" s="67">
        <f t="shared" si="17"/>
        <v>76.06519049176354</v>
      </c>
      <c r="N85" s="17">
        <f t="shared" si="11"/>
        <v>250</v>
      </c>
      <c r="O85" s="25">
        <f t="shared" si="12"/>
        <v>250</v>
      </c>
    </row>
    <row r="86" spans="6:15" ht="12.75">
      <c r="F86">
        <f t="shared" si="13"/>
        <v>47</v>
      </c>
      <c r="G86" s="33">
        <f t="shared" si="9"/>
        <v>705000</v>
      </c>
      <c r="H86" s="34">
        <f t="shared" si="14"/>
        <v>194.1503906249994</v>
      </c>
      <c r="I86" s="67">
        <f t="shared" si="15"/>
        <v>73.76376279100535</v>
      </c>
      <c r="J86" s="14">
        <f t="shared" si="10"/>
        <v>250</v>
      </c>
      <c r="K86" s="14"/>
      <c r="L86" s="34">
        <f t="shared" si="16"/>
        <v>194.1503906249994</v>
      </c>
      <c r="M86" s="67">
        <f t="shared" si="17"/>
        <v>73.76376279100535</v>
      </c>
      <c r="N86" s="17">
        <f t="shared" si="11"/>
        <v>250</v>
      </c>
      <c r="O86" s="25">
        <f t="shared" si="12"/>
        <v>250</v>
      </c>
    </row>
    <row r="87" spans="6:15" ht="12.75">
      <c r="F87">
        <f t="shared" si="13"/>
        <v>48</v>
      </c>
      <c r="G87" s="33">
        <f t="shared" si="9"/>
        <v>720000</v>
      </c>
      <c r="H87" s="34">
        <f t="shared" si="14"/>
        <v>202.49999999999972</v>
      </c>
      <c r="I87" s="67">
        <f t="shared" si="15"/>
        <v>71.57825259126317</v>
      </c>
      <c r="J87" s="14">
        <f t="shared" si="10"/>
        <v>250</v>
      </c>
      <c r="K87" s="14"/>
      <c r="L87" s="34">
        <f t="shared" si="16"/>
        <v>202.49999999999972</v>
      </c>
      <c r="M87" s="67">
        <f t="shared" si="17"/>
        <v>71.57825259126317</v>
      </c>
      <c r="N87" s="17">
        <f t="shared" si="11"/>
        <v>250</v>
      </c>
      <c r="O87" s="25">
        <f t="shared" si="12"/>
        <v>250</v>
      </c>
    </row>
    <row r="88" spans="6:15" ht="12.75">
      <c r="F88">
        <f t="shared" si="13"/>
        <v>49</v>
      </c>
      <c r="G88" s="33">
        <f t="shared" si="9"/>
        <v>735000</v>
      </c>
      <c r="H88" s="34">
        <f t="shared" si="14"/>
        <v>211.02539062499994</v>
      </c>
      <c r="I88" s="67">
        <f t="shared" si="15"/>
        <v>69.5005849092402</v>
      </c>
      <c r="J88" s="14">
        <f t="shared" si="10"/>
        <v>250</v>
      </c>
      <c r="K88" s="14"/>
      <c r="L88" s="34">
        <f t="shared" si="16"/>
        <v>211.02539062499994</v>
      </c>
      <c r="M88" s="67">
        <f t="shared" si="17"/>
        <v>69.5005849092402</v>
      </c>
      <c r="N88" s="17">
        <f t="shared" si="11"/>
        <v>250</v>
      </c>
      <c r="O88" s="25">
        <f t="shared" si="12"/>
        <v>250</v>
      </c>
    </row>
    <row r="89" spans="6:15" ht="12.75">
      <c r="F89">
        <f t="shared" si="13"/>
        <v>50</v>
      </c>
      <c r="G89" s="33">
        <f t="shared" si="9"/>
        <v>750000</v>
      </c>
      <c r="H89" s="34">
        <f t="shared" si="14"/>
        <v>219.72656249999994</v>
      </c>
      <c r="I89" s="67">
        <f t="shared" si="15"/>
        <v>67.52339686501547</v>
      </c>
      <c r="J89" s="14">
        <f t="shared" si="10"/>
        <v>250</v>
      </c>
      <c r="K89" s="14"/>
      <c r="L89" s="34">
        <f t="shared" si="16"/>
        <v>219.72656249999994</v>
      </c>
      <c r="M89" s="67">
        <f t="shared" si="17"/>
        <v>67.52339686501547</v>
      </c>
      <c r="N89" s="17">
        <f t="shared" si="11"/>
        <v>250</v>
      </c>
      <c r="O89" s="25">
        <f t="shared" si="12"/>
        <v>250</v>
      </c>
    </row>
    <row r="90" spans="6:15" ht="12.75">
      <c r="F90">
        <f t="shared" si="13"/>
        <v>51</v>
      </c>
      <c r="G90" s="33">
        <f t="shared" si="9"/>
        <v>765000</v>
      </c>
      <c r="H90" s="34">
        <f t="shared" si="14"/>
        <v>228.60351562499997</v>
      </c>
      <c r="I90" s="67">
        <f t="shared" si="15"/>
        <v>65.63996220805416</v>
      </c>
      <c r="J90" s="14">
        <f t="shared" si="10"/>
        <v>250</v>
      </c>
      <c r="K90" s="14"/>
      <c r="L90" s="34">
        <f t="shared" si="16"/>
        <v>228.60351562499997</v>
      </c>
      <c r="M90" s="67">
        <f t="shared" si="17"/>
        <v>65.63996220805416</v>
      </c>
      <c r="N90" s="17">
        <f t="shared" si="11"/>
        <v>250</v>
      </c>
      <c r="O90" s="25">
        <f t="shared" si="12"/>
        <v>250</v>
      </c>
    </row>
    <row r="91" spans="6:15" ht="12.75">
      <c r="F91">
        <f t="shared" si="13"/>
        <v>52</v>
      </c>
      <c r="G91" s="33">
        <f t="shared" si="9"/>
        <v>780000</v>
      </c>
      <c r="H91" s="34">
        <f t="shared" si="14"/>
        <v>237.65624999999966</v>
      </c>
      <c r="I91" s="67">
        <f t="shared" si="15"/>
        <v>63.84412513453758</v>
      </c>
      <c r="J91" s="14">
        <f t="shared" si="10"/>
        <v>250</v>
      </c>
      <c r="K91" s="14"/>
      <c r="L91" s="34">
        <f t="shared" si="16"/>
        <v>237.65624999999966</v>
      </c>
      <c r="M91" s="67">
        <f t="shared" si="17"/>
        <v>63.84412513453758</v>
      </c>
      <c r="N91" s="17">
        <f t="shared" si="11"/>
        <v>250</v>
      </c>
      <c r="O91" s="25">
        <f t="shared" si="12"/>
        <v>250</v>
      </c>
    </row>
    <row r="92" spans="6:15" ht="12.75">
      <c r="F92">
        <f t="shared" si="13"/>
        <v>53</v>
      </c>
      <c r="G92" s="33">
        <f t="shared" si="9"/>
        <v>795000</v>
      </c>
      <c r="H92" s="34">
        <f t="shared" si="14"/>
        <v>246.88476562500006</v>
      </c>
      <c r="I92" s="67">
        <f t="shared" si="15"/>
        <v>62.130242099115975</v>
      </c>
      <c r="J92" s="14">
        <f t="shared" si="10"/>
        <v>250</v>
      </c>
      <c r="K92" s="14"/>
      <c r="L92" s="34">
        <f t="shared" si="16"/>
        <v>246.88476562500006</v>
      </c>
      <c r="M92" s="67">
        <f t="shared" si="17"/>
        <v>62.130242099115975</v>
      </c>
      <c r="N92" s="17">
        <f t="shared" si="11"/>
        <v>250</v>
      </c>
      <c r="O92" s="25">
        <f t="shared" si="12"/>
        <v>250</v>
      </c>
    </row>
    <row r="93" spans="6:15" ht="12.75">
      <c r="F93">
        <f t="shared" si="13"/>
        <v>54</v>
      </c>
      <c r="G93" s="33">
        <f t="shared" si="9"/>
        <v>810000</v>
      </c>
      <c r="H93" s="34">
        <f t="shared" si="14"/>
        <v>256.28906249999983</v>
      </c>
      <c r="I93" s="67">
        <f t="shared" si="15"/>
        <v>60.49313052579211</v>
      </c>
      <c r="J93" s="14">
        <f t="shared" si="10"/>
        <v>250</v>
      </c>
      <c r="K93" s="14"/>
      <c r="L93" s="34">
        <f t="shared" si="16"/>
        <v>256.28906249999983</v>
      </c>
      <c r="M93" s="67">
        <f t="shared" si="17"/>
        <v>60.49313052579211</v>
      </c>
      <c r="N93" s="17">
        <f t="shared" si="11"/>
        <v>250</v>
      </c>
      <c r="O93" s="25">
        <f t="shared" si="12"/>
        <v>250</v>
      </c>
    </row>
    <row r="94" spans="6:15" ht="12.75">
      <c r="F94">
        <f t="shared" si="13"/>
        <v>55</v>
      </c>
      <c r="G94" s="33">
        <f t="shared" si="9"/>
        <v>825000</v>
      </c>
      <c r="H94" s="34">
        <f t="shared" si="14"/>
        <v>265.86914062499943</v>
      </c>
      <c r="I94" s="67">
        <f t="shared" si="15"/>
        <v>58.92802348981638</v>
      </c>
      <c r="J94" s="14">
        <f t="shared" si="10"/>
        <v>250</v>
      </c>
      <c r="K94" s="14"/>
      <c r="L94" s="34">
        <f t="shared" si="16"/>
        <v>265.86914062499943</v>
      </c>
      <c r="M94" s="67">
        <f t="shared" si="17"/>
        <v>58.92802348981638</v>
      </c>
      <c r="N94" s="17">
        <f t="shared" si="11"/>
        <v>250</v>
      </c>
      <c r="O94" s="25">
        <f t="shared" si="12"/>
        <v>250</v>
      </c>
    </row>
    <row r="95" spans="6:15" ht="12.75">
      <c r="F95">
        <f t="shared" si="13"/>
        <v>56</v>
      </c>
      <c r="G95" s="33">
        <f t="shared" si="9"/>
        <v>840000</v>
      </c>
      <c r="H95" s="34">
        <f t="shared" si="14"/>
        <v>275.625</v>
      </c>
      <c r="I95" s="67">
        <f t="shared" si="15"/>
        <v>57.43052958162443</v>
      </c>
      <c r="J95" s="14">
        <f t="shared" si="10"/>
        <v>250</v>
      </c>
      <c r="K95" s="14"/>
      <c r="L95" s="34">
        <f t="shared" si="16"/>
        <v>275.625</v>
      </c>
      <c r="M95" s="67">
        <f t="shared" si="17"/>
        <v>57.43052958162443</v>
      </c>
      <c r="N95" s="17">
        <f t="shared" si="11"/>
        <v>250</v>
      </c>
      <c r="O95" s="25">
        <f t="shared" si="12"/>
        <v>250</v>
      </c>
    </row>
    <row r="96" spans="6:15" ht="12.75">
      <c r="F96">
        <f t="shared" si="13"/>
        <v>57</v>
      </c>
      <c r="G96" s="33">
        <f t="shared" si="9"/>
        <v>855000</v>
      </c>
      <c r="H96" s="34">
        <f t="shared" si="14"/>
        <v>285.5566406249993</v>
      </c>
      <c r="I96" s="67">
        <f t="shared" si="15"/>
        <v>55.99659728005644</v>
      </c>
      <c r="J96" s="14">
        <f t="shared" si="10"/>
        <v>250</v>
      </c>
      <c r="K96" s="14"/>
      <c r="L96" s="34">
        <f t="shared" si="16"/>
        <v>285.5566406249993</v>
      </c>
      <c r="M96" s="67">
        <f t="shared" si="17"/>
        <v>55.99659728005644</v>
      </c>
      <c r="N96" s="17">
        <f t="shared" si="11"/>
        <v>250</v>
      </c>
      <c r="O96" s="25">
        <f t="shared" si="12"/>
        <v>250</v>
      </c>
    </row>
    <row r="97" spans="6:15" ht="12.75">
      <c r="F97">
        <f t="shared" si="13"/>
        <v>58</v>
      </c>
      <c r="G97" s="33">
        <f t="shared" si="9"/>
        <v>870000</v>
      </c>
      <c r="H97" s="34">
        <f t="shared" si="14"/>
        <v>295.6640625000001</v>
      </c>
      <c r="I97" s="67">
        <f t="shared" si="15"/>
        <v>54.622483259494885</v>
      </c>
      <c r="J97" s="14">
        <f t="shared" si="10"/>
        <v>250</v>
      </c>
      <c r="K97" s="14"/>
      <c r="L97" s="34">
        <f t="shared" si="16"/>
        <v>295.6640625000001</v>
      </c>
      <c r="M97" s="67">
        <f t="shared" si="17"/>
        <v>54.622483259494885</v>
      </c>
      <c r="N97" s="17">
        <f t="shared" si="11"/>
        <v>250</v>
      </c>
      <c r="O97" s="25">
        <f t="shared" si="12"/>
        <v>250</v>
      </c>
    </row>
    <row r="98" spans="6:15" ht="12.75">
      <c r="F98">
        <f t="shared" si="13"/>
        <v>59</v>
      </c>
      <c r="G98" s="33">
        <f t="shared" si="9"/>
        <v>885000</v>
      </c>
      <c r="H98" s="34">
        <f t="shared" si="14"/>
        <v>305.9472656249993</v>
      </c>
      <c r="I98" s="67">
        <f t="shared" si="15"/>
        <v>53.30472413744981</v>
      </c>
      <c r="J98" s="14">
        <f t="shared" si="10"/>
        <v>250</v>
      </c>
      <c r="K98" s="14"/>
      <c r="L98" s="34">
        <f t="shared" si="16"/>
        <v>305.9472656249993</v>
      </c>
      <c r="M98" s="67">
        <f t="shared" si="17"/>
        <v>53.30472413744981</v>
      </c>
      <c r="N98" s="17">
        <f t="shared" si="11"/>
        <v>250</v>
      </c>
      <c r="O98" s="25">
        <f t="shared" si="12"/>
        <v>250</v>
      </c>
    </row>
    <row r="99" spans="6:15" ht="12.75">
      <c r="F99">
        <f t="shared" si="13"/>
        <v>60</v>
      </c>
      <c r="G99" s="33">
        <f t="shared" si="9"/>
        <v>900000</v>
      </c>
      <c r="H99" s="34">
        <f t="shared" si="14"/>
        <v>316.4062500000001</v>
      </c>
      <c r="I99" s="67">
        <f t="shared" si="15"/>
        <v>52.04011123817991</v>
      </c>
      <c r="J99" s="14">
        <f t="shared" si="10"/>
        <v>250</v>
      </c>
      <c r="K99" s="14"/>
      <c r="L99" s="34">
        <f t="shared" si="16"/>
        <v>316.4062500000001</v>
      </c>
      <c r="M99" s="67">
        <f t="shared" si="17"/>
        <v>52.04011123817991</v>
      </c>
      <c r="N99" s="17">
        <f t="shared" si="11"/>
        <v>250</v>
      </c>
      <c r="O99" s="25">
        <f t="shared" si="12"/>
        <v>250</v>
      </c>
    </row>
    <row r="100" spans="6:15" ht="12.75">
      <c r="F100">
        <f t="shared" si="13"/>
        <v>61</v>
      </c>
      <c r="G100" s="33">
        <f t="shared" si="9"/>
        <v>915000</v>
      </c>
      <c r="H100" s="34">
        <f t="shared" si="14"/>
        <v>327.0410156249992</v>
      </c>
      <c r="I100" s="67">
        <f t="shared" si="15"/>
        <v>50.82566800638018</v>
      </c>
      <c r="J100" s="14">
        <f t="shared" si="10"/>
        <v>250</v>
      </c>
      <c r="K100" s="14"/>
      <c r="L100" s="34">
        <f t="shared" si="16"/>
        <v>327.0410156249992</v>
      </c>
      <c r="M100" s="67">
        <f t="shared" si="17"/>
        <v>50.82566800638018</v>
      </c>
      <c r="N100" s="17">
        <f t="shared" si="11"/>
        <v>250</v>
      </c>
      <c r="O100" s="25">
        <f t="shared" si="12"/>
        <v>250</v>
      </c>
    </row>
    <row r="101" spans="6:15" ht="12.75">
      <c r="F101">
        <f t="shared" si="13"/>
        <v>62</v>
      </c>
      <c r="G101" s="33">
        <f t="shared" si="9"/>
        <v>930000</v>
      </c>
      <c r="H101" s="34">
        <f t="shared" si="14"/>
        <v>337.85156249999915</v>
      </c>
      <c r="I101" s="67">
        <f t="shared" si="15"/>
        <v>49.65862975452993</v>
      </c>
      <c r="J101" s="14">
        <f t="shared" si="10"/>
        <v>250</v>
      </c>
      <c r="K101" s="14"/>
      <c r="L101" s="34">
        <f t="shared" si="16"/>
        <v>337.85156249999915</v>
      </c>
      <c r="M101" s="67">
        <f t="shared" si="17"/>
        <v>49.65862975452993</v>
      </c>
      <c r="N101" s="17">
        <f t="shared" si="11"/>
        <v>250</v>
      </c>
      <c r="O101" s="25">
        <f t="shared" si="12"/>
        <v>250</v>
      </c>
    </row>
    <row r="102" spans="6:15" ht="12.75">
      <c r="F102">
        <f t="shared" si="13"/>
        <v>63</v>
      </c>
      <c r="G102" s="33">
        <f t="shared" si="9"/>
        <v>945000</v>
      </c>
      <c r="H102" s="34">
        <f t="shared" si="14"/>
        <v>348.837890624999</v>
      </c>
      <c r="I102" s="67">
        <f t="shared" si="15"/>
        <v>48.53642546969125</v>
      </c>
      <c r="J102" s="14">
        <f t="shared" si="10"/>
        <v>250</v>
      </c>
      <c r="K102" s="14"/>
      <c r="L102" s="34">
        <f t="shared" si="16"/>
        <v>348.837890624999</v>
      </c>
      <c r="M102" s="67">
        <f t="shared" si="17"/>
        <v>48.53642546969125</v>
      </c>
      <c r="N102" s="17">
        <f t="shared" si="11"/>
        <v>250</v>
      </c>
      <c r="O102" s="25">
        <f t="shared" si="12"/>
        <v>250</v>
      </c>
    </row>
    <row r="103" spans="6:15" ht="12.75">
      <c r="F103">
        <f t="shared" si="13"/>
        <v>64</v>
      </c>
      <c r="G103" s="33">
        <f t="shared" si="9"/>
        <v>960000</v>
      </c>
      <c r="H103" s="34">
        <f t="shared" si="14"/>
        <v>360.00000000000006</v>
      </c>
      <c r="I103" s="67">
        <f t="shared" si="15"/>
        <v>47.45666144152591</v>
      </c>
      <c r="J103" s="14">
        <f t="shared" si="10"/>
        <v>250</v>
      </c>
      <c r="K103" s="14"/>
      <c r="L103" s="34">
        <f t="shared" si="16"/>
        <v>360.00000000000006</v>
      </c>
      <c r="M103" s="67">
        <f t="shared" si="17"/>
        <v>47.45666144152591</v>
      </c>
      <c r="N103" s="17">
        <f t="shared" si="11"/>
        <v>250</v>
      </c>
      <c r="O103" s="25">
        <f t="shared" si="12"/>
        <v>250</v>
      </c>
    </row>
    <row r="104" spans="6:15" ht="12.75">
      <c r="F104">
        <f t="shared" si="13"/>
        <v>65</v>
      </c>
      <c r="G104" s="33">
        <f aca="true" t="shared" si="18" ref="G104:G135">F104*P$40</f>
        <v>975000</v>
      </c>
      <c r="H104" s="34">
        <f t="shared" si="14"/>
        <v>371.33789062500006</v>
      </c>
      <c r="I104" s="67">
        <f t="shared" si="15"/>
        <v>46.41710650409412</v>
      </c>
      <c r="J104" s="14">
        <f aca="true" t="shared" si="19" ref="J104:J138">P</f>
        <v>250</v>
      </c>
      <c r="K104" s="14"/>
      <c r="L104" s="34">
        <f t="shared" si="16"/>
        <v>371.33789062500006</v>
      </c>
      <c r="M104" s="67">
        <f t="shared" si="17"/>
        <v>46.41710650409412</v>
      </c>
      <c r="N104" s="17">
        <f aca="true" t="shared" si="20" ref="N104:N138">P_new</f>
        <v>250</v>
      </c>
      <c r="O104" s="25">
        <f aca="true" t="shared" si="21" ref="O104:O138">P/(1-Initial_tax)</f>
        <v>250</v>
      </c>
    </row>
    <row r="105" spans="6:15" ht="12.75">
      <c r="F105">
        <f aca="true" t="shared" si="22" ref="F105:F138">1+F104</f>
        <v>66</v>
      </c>
      <c r="G105" s="33">
        <f t="shared" si="18"/>
        <v>990000</v>
      </c>
      <c r="H105" s="34">
        <f t="shared" si="14"/>
        <v>382.8515624999994</v>
      </c>
      <c r="I105" s="67">
        <f t="shared" si="15"/>
        <v>45.41567871039632</v>
      </c>
      <c r="J105" s="14">
        <f t="shared" si="19"/>
        <v>250</v>
      </c>
      <c r="K105" s="14"/>
      <c r="L105" s="34">
        <f t="shared" si="16"/>
        <v>382.8515624999994</v>
      </c>
      <c r="M105" s="67">
        <f t="shared" si="17"/>
        <v>45.41567871039632</v>
      </c>
      <c r="N105" s="17">
        <f t="shared" si="20"/>
        <v>250</v>
      </c>
      <c r="O105" s="25">
        <f t="shared" si="21"/>
        <v>250</v>
      </c>
    </row>
    <row r="106" spans="6:15" ht="12.75">
      <c r="F106">
        <f t="shared" si="22"/>
        <v>67</v>
      </c>
      <c r="G106" s="33">
        <f t="shared" si="18"/>
        <v>1005000</v>
      </c>
      <c r="H106" s="34">
        <f t="shared" si="14"/>
        <v>394.54101562500006</v>
      </c>
      <c r="I106" s="67">
        <f t="shared" si="15"/>
        <v>44.45043328132244</v>
      </c>
      <c r="J106" s="14">
        <f t="shared" si="19"/>
        <v>250</v>
      </c>
      <c r="K106" s="14"/>
      <c r="L106" s="34">
        <f t="shared" si="16"/>
        <v>394.54101562500006</v>
      </c>
      <c r="M106" s="67">
        <f t="shared" si="17"/>
        <v>44.45043328132244</v>
      </c>
      <c r="N106" s="17">
        <f t="shared" si="20"/>
        <v>250</v>
      </c>
      <c r="O106" s="25">
        <f t="shared" si="21"/>
        <v>250</v>
      </c>
    </row>
    <row r="107" spans="6:15" ht="12.75">
      <c r="F107">
        <f t="shared" si="22"/>
        <v>68</v>
      </c>
      <c r="G107" s="33">
        <f t="shared" si="18"/>
        <v>1020000</v>
      </c>
      <c r="H107" s="34">
        <f t="shared" si="14"/>
        <v>406.4062499999991</v>
      </c>
      <c r="I107" s="67">
        <f t="shared" si="15"/>
        <v>43.519551690235204</v>
      </c>
      <c r="J107" s="14">
        <f t="shared" si="19"/>
        <v>250</v>
      </c>
      <c r="K107" s="14"/>
      <c r="L107" s="34">
        <f t="shared" si="16"/>
        <v>406.4062499999991</v>
      </c>
      <c r="M107" s="67">
        <f t="shared" si="17"/>
        <v>43.519551690235204</v>
      </c>
      <c r="N107" s="17">
        <f t="shared" si="20"/>
        <v>250</v>
      </c>
      <c r="O107" s="25">
        <f t="shared" si="21"/>
        <v>250</v>
      </c>
    </row>
    <row r="108" spans="6:15" ht="12.75">
      <c r="F108">
        <f t="shared" si="22"/>
        <v>69</v>
      </c>
      <c r="G108" s="33">
        <f t="shared" si="18"/>
        <v>1035000</v>
      </c>
      <c r="H108" s="34">
        <f t="shared" si="14"/>
        <v>418.4472656249991</v>
      </c>
      <c r="I108" s="67">
        <f t="shared" si="15"/>
        <v>42.62133176130849</v>
      </c>
      <c r="J108" s="14">
        <f t="shared" si="19"/>
        <v>250</v>
      </c>
      <c r="K108" s="14"/>
      <c r="L108" s="34">
        <f t="shared" si="16"/>
        <v>418.4472656249991</v>
      </c>
      <c r="M108" s="67">
        <f t="shared" si="17"/>
        <v>42.62133176130849</v>
      </c>
      <c r="N108" s="17">
        <f t="shared" si="20"/>
        <v>250</v>
      </c>
      <c r="O108" s="25">
        <f t="shared" si="21"/>
        <v>250</v>
      </c>
    </row>
    <row r="109" spans="6:15" ht="12.75">
      <c r="F109">
        <f t="shared" si="22"/>
        <v>70</v>
      </c>
      <c r="G109" s="33">
        <f t="shared" si="18"/>
        <v>1050000</v>
      </c>
      <c r="H109" s="34">
        <f t="shared" si="14"/>
        <v>430.66406249999915</v>
      </c>
      <c r="I109" s="67">
        <f t="shared" si="15"/>
        <v>41.7541786743775</v>
      </c>
      <c r="J109" s="14">
        <f t="shared" si="19"/>
        <v>250</v>
      </c>
      <c r="K109" s="14"/>
      <c r="L109" s="34">
        <f t="shared" si="16"/>
        <v>430.66406249999915</v>
      </c>
      <c r="M109" s="67">
        <f t="shared" si="17"/>
        <v>41.7541786743775</v>
      </c>
      <c r="N109" s="17">
        <f t="shared" si="20"/>
        <v>250</v>
      </c>
      <c r="O109" s="25">
        <f t="shared" si="21"/>
        <v>250</v>
      </c>
    </row>
    <row r="110" spans="6:15" ht="12.75">
      <c r="F110">
        <f t="shared" si="22"/>
        <v>71</v>
      </c>
      <c r="G110" s="33">
        <f t="shared" si="18"/>
        <v>1065000</v>
      </c>
      <c r="H110" s="34">
        <f t="shared" si="14"/>
        <v>443.05664062499886</v>
      </c>
      <c r="I110" s="67">
        <f t="shared" si="15"/>
        <v>40.91659678174266</v>
      </c>
      <c r="J110" s="14">
        <f t="shared" si="19"/>
        <v>250</v>
      </c>
      <c r="K110" s="14"/>
      <c r="L110" s="34">
        <f t="shared" si="16"/>
        <v>443.05664062499886</v>
      </c>
      <c r="M110" s="67">
        <f t="shared" si="17"/>
        <v>40.91659678174266</v>
      </c>
      <c r="N110" s="17">
        <f t="shared" si="20"/>
        <v>250</v>
      </c>
      <c r="O110" s="25">
        <f t="shared" si="21"/>
        <v>250</v>
      </c>
    </row>
    <row r="111" spans="6:15" ht="12.75">
      <c r="F111">
        <f t="shared" si="22"/>
        <v>72</v>
      </c>
      <c r="G111" s="33">
        <f t="shared" si="18"/>
        <v>1080000</v>
      </c>
      <c r="H111" s="34">
        <f t="shared" si="14"/>
        <v>455.62499999999875</v>
      </c>
      <c r="I111" s="67">
        <f t="shared" si="15"/>
        <v>40.10718215340966</v>
      </c>
      <c r="J111" s="14">
        <f t="shared" si="19"/>
        <v>250</v>
      </c>
      <c r="K111" s="14"/>
      <c r="L111" s="34">
        <f t="shared" si="16"/>
        <v>455.62499999999875</v>
      </c>
      <c r="M111" s="67">
        <f t="shared" si="17"/>
        <v>40.10718215340966</v>
      </c>
      <c r="N111" s="17">
        <f t="shared" si="20"/>
        <v>250</v>
      </c>
      <c r="O111" s="25">
        <f t="shared" si="21"/>
        <v>250</v>
      </c>
    </row>
    <row r="112" spans="6:15" ht="12.75">
      <c r="F112">
        <f t="shared" si="22"/>
        <v>73</v>
      </c>
      <c r="G112" s="33">
        <f t="shared" si="18"/>
        <v>1095000</v>
      </c>
      <c r="H112" s="34">
        <f t="shared" si="14"/>
        <v>468.3691406249994</v>
      </c>
      <c r="I112" s="67">
        <f t="shared" si="15"/>
        <v>39.324615776859666</v>
      </c>
      <c r="J112" s="14">
        <f t="shared" si="19"/>
        <v>250</v>
      </c>
      <c r="K112" s="14"/>
      <c r="L112" s="34">
        <f t="shared" si="16"/>
        <v>468.3691406249994</v>
      </c>
      <c r="M112" s="67">
        <f t="shared" si="17"/>
        <v>39.324615776859666</v>
      </c>
      <c r="N112" s="17">
        <f t="shared" si="20"/>
        <v>250</v>
      </c>
      <c r="O112" s="25">
        <f t="shared" si="21"/>
        <v>250</v>
      </c>
    </row>
    <row r="113" spans="6:15" ht="12.75">
      <c r="F113">
        <f t="shared" si="22"/>
        <v>74</v>
      </c>
      <c r="G113" s="33">
        <f t="shared" si="18"/>
        <v>1110000</v>
      </c>
      <c r="H113" s="34">
        <f aca="true" t="shared" si="23" ref="H113:H138">EXP((LN($G113)-Salpha)/Sbeta)</f>
        <v>481.28906249999915</v>
      </c>
      <c r="I113" s="67">
        <f aca="true" t="shared" si="24" ref="I113:I138">EXP((LN($G113)-Dalpha-Dgamma*LN(Y))/Dbeta)</f>
        <v>38.56765734583797</v>
      </c>
      <c r="J113" s="14">
        <f t="shared" si="19"/>
        <v>250</v>
      </c>
      <c r="K113" s="14"/>
      <c r="L113" s="34">
        <f aca="true" t="shared" si="25" ref="L113:L138">EXP((LN($G113/(1+D$18))-Salpha)/Sbeta)</f>
        <v>481.28906249999915</v>
      </c>
      <c r="M113" s="67">
        <f aca="true" t="shared" si="26" ref="M113:M138">EXP((LN($G113)-Dalpha-Dgamma*LN(Y*(1+D$17)))/Dbeta)</f>
        <v>38.56765734583797</v>
      </c>
      <c r="N113" s="17">
        <f t="shared" si="20"/>
        <v>250</v>
      </c>
      <c r="O113" s="25">
        <f t="shared" si="21"/>
        <v>250</v>
      </c>
    </row>
    <row r="114" spans="6:15" ht="12.75">
      <c r="F114">
        <f t="shared" si="22"/>
        <v>75</v>
      </c>
      <c r="G114" s="33">
        <f t="shared" si="18"/>
        <v>1125000</v>
      </c>
      <c r="H114" s="34">
        <f t="shared" si="23"/>
        <v>494.3847656249992</v>
      </c>
      <c r="I114" s="67">
        <f t="shared" si="24"/>
        <v>37.83513957998895</v>
      </c>
      <c r="J114" s="14">
        <f t="shared" si="19"/>
        <v>250</v>
      </c>
      <c r="K114" s="14"/>
      <c r="L114" s="34">
        <f t="shared" si="25"/>
        <v>494.3847656249992</v>
      </c>
      <c r="M114" s="67">
        <f t="shared" si="26"/>
        <v>37.83513957998895</v>
      </c>
      <c r="N114" s="17">
        <f t="shared" si="20"/>
        <v>250</v>
      </c>
      <c r="O114" s="25">
        <f t="shared" si="21"/>
        <v>250</v>
      </c>
    </row>
    <row r="115" spans="6:15" ht="12.75">
      <c r="F115">
        <f t="shared" si="22"/>
        <v>76</v>
      </c>
      <c r="G115" s="33">
        <f t="shared" si="18"/>
        <v>1140000</v>
      </c>
      <c r="H115" s="34">
        <f t="shared" si="23"/>
        <v>507.6562499999995</v>
      </c>
      <c r="I115" s="67">
        <f t="shared" si="24"/>
        <v>37.1259630235996</v>
      </c>
      <c r="J115" s="14">
        <f t="shared" si="19"/>
        <v>250</v>
      </c>
      <c r="K115" s="14"/>
      <c r="L115" s="34">
        <f t="shared" si="25"/>
        <v>507.6562499999995</v>
      </c>
      <c r="M115" s="67">
        <f t="shared" si="26"/>
        <v>37.1259630235996</v>
      </c>
      <c r="N115" s="17">
        <f t="shared" si="20"/>
        <v>250</v>
      </c>
      <c r="O115" s="25">
        <f t="shared" si="21"/>
        <v>250</v>
      </c>
    </row>
    <row r="116" spans="6:15" ht="12.75">
      <c r="F116">
        <f t="shared" si="22"/>
        <v>77</v>
      </c>
      <c r="G116" s="33">
        <f t="shared" si="18"/>
        <v>1155000</v>
      </c>
      <c r="H116" s="34">
        <f t="shared" si="23"/>
        <v>521.1035156249998</v>
      </c>
      <c r="I116" s="67">
        <f t="shared" si="24"/>
        <v>36.43909127735998</v>
      </c>
      <c r="J116" s="14">
        <f t="shared" si="19"/>
        <v>250</v>
      </c>
      <c r="K116" s="14"/>
      <c r="L116" s="34">
        <f t="shared" si="25"/>
        <v>521.1035156249998</v>
      </c>
      <c r="M116" s="67">
        <f t="shared" si="26"/>
        <v>36.43909127735998</v>
      </c>
      <c r="N116" s="17">
        <f t="shared" si="20"/>
        <v>250</v>
      </c>
      <c r="O116" s="25">
        <f t="shared" si="21"/>
        <v>250</v>
      </c>
    </row>
    <row r="117" spans="6:15" ht="12.75">
      <c r="F117">
        <f t="shared" si="22"/>
        <v>78</v>
      </c>
      <c r="G117" s="33">
        <f t="shared" si="18"/>
        <v>1170000</v>
      </c>
      <c r="H117" s="34">
        <f t="shared" si="23"/>
        <v>534.7265624999985</v>
      </c>
      <c r="I117" s="67">
        <f t="shared" si="24"/>
        <v>35.773546622015836</v>
      </c>
      <c r="J117" s="14">
        <f t="shared" si="19"/>
        <v>250</v>
      </c>
      <c r="K117" s="14"/>
      <c r="L117" s="34">
        <f t="shared" si="25"/>
        <v>534.7265624999985</v>
      </c>
      <c r="M117" s="67">
        <f t="shared" si="26"/>
        <v>35.773546622015836</v>
      </c>
      <c r="N117" s="17">
        <f t="shared" si="20"/>
        <v>250</v>
      </c>
      <c r="O117" s="25">
        <f t="shared" si="21"/>
        <v>250</v>
      </c>
    </row>
    <row r="118" spans="6:15" ht="12.75">
      <c r="F118">
        <f t="shared" si="22"/>
        <v>79</v>
      </c>
      <c r="G118" s="33">
        <f t="shared" si="18"/>
        <v>1185000</v>
      </c>
      <c r="H118" s="34">
        <f t="shared" si="23"/>
        <v>548.5253906249985</v>
      </c>
      <c r="I118" s="67">
        <f t="shared" si="24"/>
        <v>35.12840599716451</v>
      </c>
      <c r="J118" s="14">
        <f t="shared" si="19"/>
        <v>250</v>
      </c>
      <c r="K118" s="14"/>
      <c r="L118" s="34">
        <f t="shared" si="25"/>
        <v>548.5253906249985</v>
      </c>
      <c r="M118" s="67">
        <f t="shared" si="26"/>
        <v>35.12840599716451</v>
      </c>
      <c r="N118" s="17">
        <f t="shared" si="20"/>
        <v>250</v>
      </c>
      <c r="O118" s="25">
        <f t="shared" si="21"/>
        <v>250</v>
      </c>
    </row>
    <row r="119" spans="6:15" ht="12.75">
      <c r="F119">
        <f t="shared" si="22"/>
        <v>80</v>
      </c>
      <c r="G119" s="33">
        <f t="shared" si="18"/>
        <v>1200000</v>
      </c>
      <c r="H119" s="34">
        <f t="shared" si="23"/>
        <v>562.499999999999</v>
      </c>
      <c r="I119" s="67">
        <f t="shared" si="24"/>
        <v>34.50279730230664</v>
      </c>
      <c r="J119" s="14">
        <f t="shared" si="19"/>
        <v>250</v>
      </c>
      <c r="K119" s="14"/>
      <c r="L119" s="34">
        <f t="shared" si="25"/>
        <v>562.499999999999</v>
      </c>
      <c r="M119" s="67">
        <f t="shared" si="26"/>
        <v>34.50279730230664</v>
      </c>
      <c r="N119" s="17">
        <f t="shared" si="20"/>
        <v>250</v>
      </c>
      <c r="O119" s="25">
        <f t="shared" si="21"/>
        <v>250</v>
      </c>
    </row>
    <row r="120" spans="6:15" ht="12.75">
      <c r="F120">
        <f t="shared" si="22"/>
        <v>81</v>
      </c>
      <c r="G120" s="33">
        <f t="shared" si="18"/>
        <v>1215000</v>
      </c>
      <c r="H120" s="34">
        <f t="shared" si="23"/>
        <v>576.6503906249989</v>
      </c>
      <c r="I120" s="67">
        <f t="shared" si="24"/>
        <v>33.89589599067795</v>
      </c>
      <c r="J120" s="14">
        <f t="shared" si="19"/>
        <v>250</v>
      </c>
      <c r="K120" s="14"/>
      <c r="L120" s="34">
        <f t="shared" si="25"/>
        <v>576.6503906249989</v>
      </c>
      <c r="M120" s="67">
        <f t="shared" si="26"/>
        <v>33.89589599067795</v>
      </c>
      <c r="N120" s="17">
        <f t="shared" si="20"/>
        <v>250</v>
      </c>
      <c r="O120" s="25">
        <f t="shared" si="21"/>
        <v>250</v>
      </c>
    </row>
    <row r="121" spans="6:15" ht="12.75">
      <c r="F121">
        <f t="shared" si="22"/>
        <v>82</v>
      </c>
      <c r="G121" s="33">
        <f t="shared" si="18"/>
        <v>1230000</v>
      </c>
      <c r="H121" s="34">
        <f t="shared" si="23"/>
        <v>590.9765624999986</v>
      </c>
      <c r="I121" s="67">
        <f t="shared" si="24"/>
        <v>33.306921929408205</v>
      </c>
      <c r="J121" s="14">
        <f t="shared" si="19"/>
        <v>250</v>
      </c>
      <c r="K121" s="14"/>
      <c r="L121" s="34">
        <f t="shared" si="25"/>
        <v>590.9765624999986</v>
      </c>
      <c r="M121" s="67">
        <f t="shared" si="26"/>
        <v>33.306921929408205</v>
      </c>
      <c r="N121" s="17">
        <f t="shared" si="20"/>
        <v>250</v>
      </c>
      <c r="O121" s="25">
        <f t="shared" si="21"/>
        <v>250</v>
      </c>
    </row>
    <row r="122" spans="6:15" ht="12.75">
      <c r="F122">
        <f t="shared" si="22"/>
        <v>83</v>
      </c>
      <c r="G122" s="33">
        <f t="shared" si="18"/>
        <v>1245000</v>
      </c>
      <c r="H122" s="34">
        <f t="shared" si="23"/>
        <v>605.4785156249999</v>
      </c>
      <c r="I122" s="67">
        <f t="shared" si="24"/>
        <v>32.73513650223359</v>
      </c>
      <c r="J122" s="14">
        <f t="shared" si="19"/>
        <v>250</v>
      </c>
      <c r="K122" s="14"/>
      <c r="L122" s="34">
        <f t="shared" si="25"/>
        <v>605.4785156249999</v>
      </c>
      <c r="M122" s="67">
        <f t="shared" si="26"/>
        <v>32.73513650223359</v>
      </c>
      <c r="N122" s="17">
        <f t="shared" si="20"/>
        <v>250</v>
      </c>
      <c r="O122" s="25">
        <f t="shared" si="21"/>
        <v>250</v>
      </c>
    </row>
    <row r="123" spans="6:15" ht="12.75">
      <c r="F123">
        <f t="shared" si="22"/>
        <v>84</v>
      </c>
      <c r="G123" s="33">
        <f t="shared" si="18"/>
        <v>1260000</v>
      </c>
      <c r="H123" s="34">
        <f t="shared" si="23"/>
        <v>620.1562499999991</v>
      </c>
      <c r="I123" s="67">
        <f t="shared" si="24"/>
        <v>32.17983993336747</v>
      </c>
      <c r="J123" s="14">
        <f t="shared" si="19"/>
        <v>250</v>
      </c>
      <c r="K123" s="14"/>
      <c r="L123" s="34">
        <f t="shared" si="25"/>
        <v>620.1562499999991</v>
      </c>
      <c r="M123" s="67">
        <f t="shared" si="26"/>
        <v>32.17983993336747</v>
      </c>
      <c r="N123" s="17">
        <f t="shared" si="20"/>
        <v>250</v>
      </c>
      <c r="O123" s="25">
        <f t="shared" si="21"/>
        <v>250</v>
      </c>
    </row>
    <row r="124" spans="6:15" ht="12.75">
      <c r="F124">
        <f t="shared" si="22"/>
        <v>85</v>
      </c>
      <c r="G124" s="33">
        <f t="shared" si="18"/>
        <v>1275000</v>
      </c>
      <c r="H124" s="34">
        <f t="shared" si="23"/>
        <v>635.0097656249997</v>
      </c>
      <c r="I124" s="67">
        <f t="shared" si="24"/>
        <v>31.640368813250383</v>
      </c>
      <c r="J124" s="14">
        <f t="shared" si="19"/>
        <v>250</v>
      </c>
      <c r="K124" s="14"/>
      <c r="L124" s="34">
        <f t="shared" si="25"/>
        <v>635.0097656249997</v>
      </c>
      <c r="M124" s="67">
        <f t="shared" si="26"/>
        <v>31.640368813250383</v>
      </c>
      <c r="N124" s="17">
        <f t="shared" si="20"/>
        <v>250</v>
      </c>
      <c r="O124" s="25">
        <f t="shared" si="21"/>
        <v>250</v>
      </c>
    </row>
    <row r="125" spans="6:15" ht="12.75">
      <c r="F125">
        <f t="shared" si="22"/>
        <v>86</v>
      </c>
      <c r="G125" s="33">
        <f t="shared" si="18"/>
        <v>1290000</v>
      </c>
      <c r="H125" s="34">
        <f t="shared" si="23"/>
        <v>650.0390624999989</v>
      </c>
      <c r="I125" s="67">
        <f t="shared" si="24"/>
        <v>31.116093808786516</v>
      </c>
      <c r="J125" s="14">
        <f t="shared" si="19"/>
        <v>250</v>
      </c>
      <c r="K125" s="14"/>
      <c r="L125" s="34">
        <f t="shared" si="25"/>
        <v>650.0390624999989</v>
      </c>
      <c r="M125" s="67">
        <f t="shared" si="26"/>
        <v>31.116093808786516</v>
      </c>
      <c r="N125" s="17">
        <f t="shared" si="20"/>
        <v>250</v>
      </c>
      <c r="O125" s="25">
        <f t="shared" si="21"/>
        <v>250</v>
      </c>
    </row>
    <row r="126" spans="6:15" ht="12.75">
      <c r="F126">
        <f t="shared" si="22"/>
        <v>87</v>
      </c>
      <c r="G126" s="33">
        <f t="shared" si="18"/>
        <v>1305000</v>
      </c>
      <c r="H126" s="34">
        <f t="shared" si="23"/>
        <v>665.2441406249993</v>
      </c>
      <c r="I126" s="67">
        <f t="shared" si="24"/>
        <v>30.6064175423519</v>
      </c>
      <c r="J126" s="14">
        <f t="shared" si="19"/>
        <v>250</v>
      </c>
      <c r="K126" s="14"/>
      <c r="L126" s="34">
        <f t="shared" si="25"/>
        <v>665.2441406249993</v>
      </c>
      <c r="M126" s="67">
        <f t="shared" si="26"/>
        <v>30.6064175423519</v>
      </c>
      <c r="N126" s="17">
        <f t="shared" si="20"/>
        <v>250</v>
      </c>
      <c r="O126" s="25">
        <f t="shared" si="21"/>
        <v>250</v>
      </c>
    </row>
    <row r="127" spans="6:15" ht="12.75">
      <c r="F127">
        <f t="shared" si="22"/>
        <v>88</v>
      </c>
      <c r="G127" s="33">
        <f t="shared" si="18"/>
        <v>1320000</v>
      </c>
      <c r="H127" s="34">
        <f t="shared" si="23"/>
        <v>680.6249999999999</v>
      </c>
      <c r="I127" s="67">
        <f t="shared" si="24"/>
        <v>30.110772625363964</v>
      </c>
      <c r="J127" s="14">
        <f t="shared" si="19"/>
        <v>250</v>
      </c>
      <c r="K127" s="14"/>
      <c r="L127" s="34">
        <f t="shared" si="25"/>
        <v>680.6249999999999</v>
      </c>
      <c r="M127" s="67">
        <f t="shared" si="26"/>
        <v>30.110772625363964</v>
      </c>
      <c r="N127" s="17">
        <f t="shared" si="20"/>
        <v>250</v>
      </c>
      <c r="O127" s="25">
        <f t="shared" si="21"/>
        <v>250</v>
      </c>
    </row>
    <row r="128" spans="6:15" ht="12.75">
      <c r="F128">
        <f t="shared" si="22"/>
        <v>89</v>
      </c>
      <c r="G128" s="33">
        <f t="shared" si="18"/>
        <v>1335000</v>
      </c>
      <c r="H128" s="34">
        <f t="shared" si="23"/>
        <v>696.1816406249991</v>
      </c>
      <c r="I128" s="67">
        <f t="shared" si="24"/>
        <v>29.628619833542224</v>
      </c>
      <c r="J128" s="14">
        <f t="shared" si="19"/>
        <v>250</v>
      </c>
      <c r="K128" s="14"/>
      <c r="L128" s="34">
        <f t="shared" si="25"/>
        <v>696.1816406249991</v>
      </c>
      <c r="M128" s="67">
        <f t="shared" si="26"/>
        <v>29.628619833542224</v>
      </c>
      <c r="N128" s="17">
        <f t="shared" si="20"/>
        <v>250</v>
      </c>
      <c r="O128" s="25">
        <f t="shared" si="21"/>
        <v>250</v>
      </c>
    </row>
    <row r="129" spans="6:15" ht="12.75">
      <c r="F129">
        <f t="shared" si="22"/>
        <v>90</v>
      </c>
      <c r="G129" s="33">
        <f t="shared" si="18"/>
        <v>1350000</v>
      </c>
      <c r="H129" s="34">
        <f t="shared" si="23"/>
        <v>711.9140624999993</v>
      </c>
      <c r="I129" s="67">
        <f t="shared" si="24"/>
        <v>29.15944641219343</v>
      </c>
      <c r="J129" s="14">
        <f t="shared" si="19"/>
        <v>250</v>
      </c>
      <c r="K129" s="14"/>
      <c r="L129" s="34">
        <f t="shared" si="25"/>
        <v>711.9140624999993</v>
      </c>
      <c r="M129" s="67">
        <f t="shared" si="26"/>
        <v>29.15944641219343</v>
      </c>
      <c r="N129" s="17">
        <f t="shared" si="20"/>
        <v>250</v>
      </c>
      <c r="O129" s="25">
        <f t="shared" si="21"/>
        <v>250</v>
      </c>
    </row>
    <row r="130" spans="6:15" ht="12.75">
      <c r="F130">
        <f t="shared" si="22"/>
        <v>91</v>
      </c>
      <c r="G130" s="33">
        <f t="shared" si="18"/>
        <v>1365000</v>
      </c>
      <c r="H130" s="34">
        <f t="shared" si="23"/>
        <v>727.8222656249989</v>
      </c>
      <c r="I130" s="67">
        <f t="shared" si="24"/>
        <v>28.70276450093269</v>
      </c>
      <c r="J130" s="14">
        <f t="shared" si="19"/>
        <v>250</v>
      </c>
      <c r="K130" s="14"/>
      <c r="L130" s="34">
        <f t="shared" si="25"/>
        <v>727.8222656249989</v>
      </c>
      <c r="M130" s="67">
        <f t="shared" si="26"/>
        <v>28.70276450093269</v>
      </c>
      <c r="N130" s="17">
        <f t="shared" si="20"/>
        <v>250</v>
      </c>
      <c r="O130" s="25">
        <f t="shared" si="21"/>
        <v>250</v>
      </c>
    </row>
    <row r="131" spans="6:15" ht="12.75">
      <c r="F131">
        <f t="shared" si="22"/>
        <v>92</v>
      </c>
      <c r="G131" s="33">
        <f t="shared" si="18"/>
        <v>1380000</v>
      </c>
      <c r="H131" s="34">
        <f t="shared" si="23"/>
        <v>743.9062499999995</v>
      </c>
      <c r="I131" s="67">
        <f t="shared" si="24"/>
        <v>28.258109668218676</v>
      </c>
      <c r="J131" s="14">
        <f t="shared" si="19"/>
        <v>250</v>
      </c>
      <c r="K131" s="14"/>
      <c r="L131" s="34">
        <f t="shared" si="25"/>
        <v>743.9062499999995</v>
      </c>
      <c r="M131" s="67">
        <f t="shared" si="26"/>
        <v>28.258109668218676</v>
      </c>
      <c r="N131" s="17">
        <f t="shared" si="20"/>
        <v>250</v>
      </c>
      <c r="O131" s="25">
        <f t="shared" si="21"/>
        <v>250</v>
      </c>
    </row>
    <row r="132" spans="6:15" ht="12.75">
      <c r="F132">
        <f t="shared" si="22"/>
        <v>93</v>
      </c>
      <c r="G132" s="33">
        <f t="shared" si="18"/>
        <v>1395000</v>
      </c>
      <c r="H132" s="34">
        <f t="shared" si="23"/>
        <v>760.1660156249998</v>
      </c>
      <c r="I132" s="67">
        <f t="shared" si="24"/>
        <v>27.825039546952553</v>
      </c>
      <c r="J132" s="14">
        <f t="shared" si="19"/>
        <v>250</v>
      </c>
      <c r="K132" s="14"/>
      <c r="L132" s="34">
        <f t="shared" si="25"/>
        <v>760.1660156249998</v>
      </c>
      <c r="M132" s="67">
        <f t="shared" si="26"/>
        <v>27.825039546952553</v>
      </c>
      <c r="N132" s="17">
        <f t="shared" si="20"/>
        <v>250</v>
      </c>
      <c r="O132" s="25">
        <f t="shared" si="21"/>
        <v>250</v>
      </c>
    </row>
    <row r="133" spans="6:15" ht="12.75">
      <c r="F133">
        <f t="shared" si="22"/>
        <v>94</v>
      </c>
      <c r="G133" s="33">
        <f t="shared" si="18"/>
        <v>1410000</v>
      </c>
      <c r="H133" s="34">
        <f t="shared" si="23"/>
        <v>776.6015624999978</v>
      </c>
      <c r="I133" s="67">
        <f t="shared" si="24"/>
        <v>27.40313256317162</v>
      </c>
      <c r="J133" s="14">
        <f t="shared" si="19"/>
        <v>250</v>
      </c>
      <c r="K133" s="14"/>
      <c r="L133" s="34">
        <f t="shared" si="25"/>
        <v>776.6015624999978</v>
      </c>
      <c r="M133" s="67">
        <f t="shared" si="26"/>
        <v>27.40313256317162</v>
      </c>
      <c r="N133" s="17">
        <f t="shared" si="20"/>
        <v>250</v>
      </c>
      <c r="O133" s="25">
        <f t="shared" si="21"/>
        <v>250</v>
      </c>
    </row>
    <row r="134" spans="6:15" ht="12.75">
      <c r="F134">
        <f t="shared" si="22"/>
        <v>95</v>
      </c>
      <c r="G134" s="33">
        <f t="shared" si="18"/>
        <v>1425000</v>
      </c>
      <c r="H134" s="34">
        <f t="shared" si="23"/>
        <v>793.2128906249977</v>
      </c>
      <c r="I134" s="67">
        <f t="shared" si="24"/>
        <v>26.991986750574966</v>
      </c>
      <c r="J134" s="14">
        <f t="shared" si="19"/>
        <v>250</v>
      </c>
      <c r="K134" s="14"/>
      <c r="L134" s="34">
        <f t="shared" si="25"/>
        <v>793.2128906249977</v>
      </c>
      <c r="M134" s="67">
        <f t="shared" si="26"/>
        <v>26.991986750574966</v>
      </c>
      <c r="N134" s="17">
        <f t="shared" si="20"/>
        <v>250</v>
      </c>
      <c r="O134" s="25">
        <f t="shared" si="21"/>
        <v>250</v>
      </c>
    </row>
    <row r="135" spans="6:15" ht="12.75">
      <c r="F135">
        <f t="shared" si="22"/>
        <v>96</v>
      </c>
      <c r="G135" s="33">
        <f t="shared" si="18"/>
        <v>1440000</v>
      </c>
      <c r="H135" s="34">
        <f t="shared" si="23"/>
        <v>809.999999999999</v>
      </c>
      <c r="I135" s="67">
        <f t="shared" si="24"/>
        <v>26.591218644254752</v>
      </c>
      <c r="J135" s="14">
        <f t="shared" si="19"/>
        <v>250</v>
      </c>
      <c r="K135" s="14"/>
      <c r="L135" s="34">
        <f t="shared" si="25"/>
        <v>809.999999999999</v>
      </c>
      <c r="M135" s="67">
        <f t="shared" si="26"/>
        <v>26.591218644254752</v>
      </c>
      <c r="N135" s="17">
        <f t="shared" si="20"/>
        <v>250</v>
      </c>
      <c r="O135" s="25">
        <f t="shared" si="21"/>
        <v>250</v>
      </c>
    </row>
    <row r="136" spans="6:15" ht="12.75">
      <c r="F136">
        <f t="shared" si="22"/>
        <v>97</v>
      </c>
      <c r="G136" s="33">
        <f>F136*P$40</f>
        <v>1455000</v>
      </c>
      <c r="H136" s="34">
        <f t="shared" si="23"/>
        <v>826.9628906249992</v>
      </c>
      <c r="I136" s="67">
        <f t="shared" si="24"/>
        <v>26.200462247580266</v>
      </c>
      <c r="J136" s="14">
        <f t="shared" si="19"/>
        <v>250</v>
      </c>
      <c r="K136" s="14"/>
      <c r="L136" s="34">
        <f t="shared" si="25"/>
        <v>826.9628906249992</v>
      </c>
      <c r="M136" s="67">
        <f t="shared" si="26"/>
        <v>26.200462247580266</v>
      </c>
      <c r="N136" s="17">
        <f t="shared" si="20"/>
        <v>250</v>
      </c>
      <c r="O136" s="25">
        <f t="shared" si="21"/>
        <v>250</v>
      </c>
    </row>
    <row r="137" spans="6:15" ht="12.75">
      <c r="F137">
        <f t="shared" si="22"/>
        <v>98</v>
      </c>
      <c r="G137" s="33">
        <f>F137*P$40</f>
        <v>1470000</v>
      </c>
      <c r="H137" s="34">
        <f t="shared" si="23"/>
        <v>844.1015624999999</v>
      </c>
      <c r="I137" s="67">
        <f t="shared" si="24"/>
        <v>25.81936806670213</v>
      </c>
      <c r="J137" s="14">
        <f t="shared" si="19"/>
        <v>250</v>
      </c>
      <c r="K137" s="14"/>
      <c r="L137" s="34">
        <f t="shared" si="25"/>
        <v>844.1015624999999</v>
      </c>
      <c r="M137" s="67">
        <f t="shared" si="26"/>
        <v>25.81936806670213</v>
      </c>
      <c r="N137" s="17">
        <f t="shared" si="20"/>
        <v>250</v>
      </c>
      <c r="O137" s="25">
        <f t="shared" si="21"/>
        <v>250</v>
      </c>
    </row>
    <row r="138" spans="6:15" ht="12.75">
      <c r="F138">
        <f t="shared" si="22"/>
        <v>99</v>
      </c>
      <c r="G138" s="33">
        <f>F138*P$40</f>
        <v>1485000</v>
      </c>
      <c r="H138" s="34">
        <f t="shared" si="23"/>
        <v>861.4160156249974</v>
      </c>
      <c r="I138" s="67">
        <f t="shared" si="24"/>
        <v>25.4476022076142</v>
      </c>
      <c r="J138" s="14">
        <f t="shared" si="19"/>
        <v>250</v>
      </c>
      <c r="K138" s="14"/>
      <c r="L138" s="34">
        <f t="shared" si="25"/>
        <v>861.4160156249974</v>
      </c>
      <c r="M138" s="67">
        <f t="shared" si="26"/>
        <v>25.4476022076142</v>
      </c>
      <c r="N138" s="17">
        <f t="shared" si="20"/>
        <v>250</v>
      </c>
      <c r="O138" s="25">
        <f t="shared" si="21"/>
        <v>250</v>
      </c>
    </row>
    <row r="139" spans="7:15" ht="12.75">
      <c r="G139" s="33"/>
      <c r="H139" s="34"/>
      <c r="I139" s="67"/>
      <c r="J139" s="14"/>
      <c r="K139" s="14"/>
      <c r="L139" s="34"/>
      <c r="M139" s="67"/>
      <c r="N139" s="17"/>
      <c r="O139" s="25"/>
    </row>
    <row r="140" spans="7:15" ht="12.75">
      <c r="G140" s="35"/>
      <c r="H140" s="9"/>
      <c r="I140" s="9"/>
      <c r="J140" s="9"/>
      <c r="K140" s="9"/>
      <c r="L140" s="9"/>
      <c r="M140" s="9"/>
      <c r="N140" s="9"/>
      <c r="O140" s="30"/>
    </row>
    <row r="141" ht="12.75">
      <c r="G141" s="3"/>
    </row>
    <row r="142" ht="12.75">
      <c r="G142" s="3"/>
    </row>
    <row r="143" ht="12.75">
      <c r="G143" s="3"/>
    </row>
    <row r="144" ht="12.75">
      <c r="G144" s="3"/>
    </row>
    <row r="145" ht="12.75">
      <c r="G145" s="3"/>
    </row>
    <row r="146" ht="12.75">
      <c r="G146" s="3"/>
    </row>
    <row r="147" ht="12.75">
      <c r="G147" s="3"/>
    </row>
    <row r="148" ht="12.75">
      <c r="G148" s="3"/>
    </row>
    <row r="149" ht="12.75">
      <c r="G149" s="3"/>
    </row>
    <row r="150" ht="12.75">
      <c r="G150" s="3"/>
    </row>
    <row r="151" ht="12.75">
      <c r="G151" s="3"/>
    </row>
    <row r="152" ht="12.75">
      <c r="G152" s="3"/>
    </row>
    <row r="153" ht="12.75">
      <c r="G153" s="3"/>
    </row>
    <row r="154" ht="12.75">
      <c r="G154" s="3"/>
    </row>
    <row r="155" ht="12.75">
      <c r="G155" s="3"/>
    </row>
    <row r="156" ht="12.75">
      <c r="G156" s="3"/>
    </row>
    <row r="157" ht="12.75">
      <c r="G157" s="3"/>
    </row>
    <row r="158" ht="12.75">
      <c r="G158" s="3"/>
    </row>
    <row r="159" ht="12.75">
      <c r="G159" s="3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9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4.140625" style="0" customWidth="1"/>
    <col min="3" max="3" width="14.7109375" style="0" customWidth="1"/>
    <col min="4" max="4" width="13.00390625" style="0" customWidth="1"/>
    <col min="5" max="5" width="10.421875" style="0" customWidth="1"/>
    <col min="6" max="6" width="9.7109375" style="0" customWidth="1"/>
    <col min="7" max="7" width="10.421875" style="0" customWidth="1"/>
    <col min="8" max="8" width="9.57421875" style="0" bestFit="1" customWidth="1"/>
    <col min="9" max="9" width="11.7109375" style="0" customWidth="1"/>
    <col min="11" max="11" width="3.421875" style="0" customWidth="1"/>
    <col min="13" max="13" width="9.28125" style="0" bestFit="1" customWidth="1"/>
    <col min="16" max="16" width="10.28125" style="0" bestFit="1" customWidth="1"/>
  </cols>
  <sheetData>
    <row r="1" ht="12.75">
      <c r="A1" s="1" t="s">
        <v>37</v>
      </c>
    </row>
    <row r="3" spans="2:3" ht="12.75">
      <c r="B3" s="9" t="s">
        <v>28</v>
      </c>
      <c r="C3" s="9"/>
    </row>
    <row r="4" spans="2:5" ht="12.75">
      <c r="B4" t="s">
        <v>7</v>
      </c>
      <c r="D4" s="36">
        <v>550000</v>
      </c>
      <c r="E4" t="s">
        <v>3</v>
      </c>
    </row>
    <row r="5" spans="2:5" ht="12.75">
      <c r="B5" t="s">
        <v>8</v>
      </c>
      <c r="D5" s="36">
        <v>750000</v>
      </c>
      <c r="E5" t="s">
        <v>3</v>
      </c>
    </row>
    <row r="6" spans="2:5" ht="12.75">
      <c r="B6" t="s">
        <v>9</v>
      </c>
      <c r="D6" s="36">
        <f>D5-D4</f>
        <v>200000</v>
      </c>
      <c r="E6" t="s">
        <v>3</v>
      </c>
    </row>
    <row r="7" spans="2:5" ht="12.75">
      <c r="B7" t="s">
        <v>38</v>
      </c>
      <c r="D7" s="36">
        <v>250</v>
      </c>
      <c r="E7" t="s">
        <v>39</v>
      </c>
    </row>
    <row r="8" spans="2:4" ht="12.75">
      <c r="B8" t="s">
        <v>31</v>
      </c>
      <c r="D8" s="37">
        <v>0</v>
      </c>
    </row>
    <row r="9" ht="12.75">
      <c r="D9" s="36"/>
    </row>
    <row r="10" spans="2:4" ht="12.75">
      <c r="B10" s="9" t="s">
        <v>29</v>
      </c>
      <c r="C10" s="9"/>
      <c r="D10" s="37"/>
    </row>
    <row r="11" spans="2:4" ht="12.75">
      <c r="B11" t="s">
        <v>1</v>
      </c>
      <c r="D11" s="38">
        <v>0.5</v>
      </c>
    </row>
    <row r="12" spans="2:4" ht="12.75">
      <c r="B12" t="s">
        <v>2</v>
      </c>
      <c r="D12" s="39">
        <v>-0.5</v>
      </c>
    </row>
    <row r="13" spans="2:4" ht="12.75">
      <c r="B13" t="s">
        <v>10</v>
      </c>
      <c r="D13" s="38">
        <v>0.4</v>
      </c>
    </row>
    <row r="14" ht="12.75">
      <c r="D14" s="40"/>
    </row>
    <row r="15" spans="2:4" ht="12.75">
      <c r="B15" s="9" t="s">
        <v>23</v>
      </c>
      <c r="C15" s="9"/>
      <c r="D15" s="38"/>
    </row>
    <row r="16" spans="2:4" ht="12.75">
      <c r="B16" t="s">
        <v>15</v>
      </c>
      <c r="D16" s="37">
        <v>0</v>
      </c>
    </row>
    <row r="17" spans="2:4" ht="12.75">
      <c r="B17" t="s">
        <v>16</v>
      </c>
      <c r="D17" s="37">
        <v>0</v>
      </c>
    </row>
    <row r="18" spans="2:4" ht="12.75">
      <c r="B18" t="s">
        <v>17</v>
      </c>
      <c r="D18" s="37">
        <v>0</v>
      </c>
    </row>
    <row r="19" spans="2:4" ht="12.75">
      <c r="B19" t="s">
        <v>32</v>
      </c>
      <c r="D19" s="37">
        <v>0</v>
      </c>
    </row>
    <row r="20" ht="12.75">
      <c r="D20" s="2"/>
    </row>
    <row r="21" spans="2:6" ht="12.75">
      <c r="B21" s="9" t="s">
        <v>30</v>
      </c>
      <c r="C21" s="9"/>
      <c r="D21" s="12" t="s">
        <v>13</v>
      </c>
      <c r="E21" s="13" t="s">
        <v>14</v>
      </c>
      <c r="F21" s="13" t="s">
        <v>27</v>
      </c>
    </row>
    <row r="22" spans="2:6" ht="12.75">
      <c r="B22" t="s">
        <v>26</v>
      </c>
      <c r="D22" s="2">
        <f>EXP(Salpha+Sbeta*LN(P))</f>
        <v>550000.0000000001</v>
      </c>
      <c r="E22" s="2">
        <f>(1+PctChSupply)*EXP(Salpha+Sbeta*LN(P_new))</f>
        <v>550000.0000000001</v>
      </c>
      <c r="F22" s="11">
        <f>E22/D22-1</f>
        <v>0</v>
      </c>
    </row>
    <row r="23" spans="2:6" ht="12.75">
      <c r="B23" t="s">
        <v>8</v>
      </c>
      <c r="D23" s="2">
        <f>EXP(Dalpha+Dbeta*LN(P)+Dgamma*LN(Y))</f>
        <v>750000.0000000005</v>
      </c>
      <c r="E23" s="2">
        <f>EXP(Dalpha+Dbeta*LN(P_new)+Dgamma*LN(Y*(1+PctChIncome)))</f>
        <v>750000.0000000005</v>
      </c>
      <c r="F23" s="11">
        <f>E23/D23-1</f>
        <v>0</v>
      </c>
    </row>
    <row r="24" spans="2:6" ht="12.75">
      <c r="B24" t="s">
        <v>9</v>
      </c>
      <c r="D24" s="2">
        <f>D23-D22</f>
        <v>200000.00000000035</v>
      </c>
      <c r="E24" s="2">
        <f>E23-E22</f>
        <v>200000.00000000035</v>
      </c>
      <c r="F24" s="11">
        <f>E24/D24-1</f>
        <v>0</v>
      </c>
    </row>
    <row r="25" spans="2:6" ht="12.75">
      <c r="B25" s="9" t="s">
        <v>0</v>
      </c>
      <c r="C25" s="9"/>
      <c r="D25" s="43">
        <f>P</f>
        <v>250</v>
      </c>
      <c r="E25" s="44">
        <f>P*(1+PctChPrice)*(1+New_tariff)/(1+Original_tariff)</f>
        <v>250</v>
      </c>
      <c r="F25" s="19">
        <f>E25/D25-1</f>
        <v>0</v>
      </c>
    </row>
    <row r="26" spans="2:6" ht="12.75">
      <c r="B26" s="49" t="s">
        <v>44</v>
      </c>
      <c r="C26" s="14"/>
      <c r="D26" s="15"/>
      <c r="E26" s="51">
        <f>IF(AND(PctChSupply=0,PctChSupply=0),0.5*(Qd1+Qd0)*(P_0-P_1)/1000000,"")</f>
        <v>0</v>
      </c>
      <c r="F26" s="50" t="s">
        <v>46</v>
      </c>
    </row>
    <row r="27" spans="2:6" ht="12.75">
      <c r="B27" s="49" t="s">
        <v>45</v>
      </c>
      <c r="C27" s="14"/>
      <c r="D27" s="15"/>
      <c r="E27" s="51">
        <f>IF(AND(PctChIncome=0,PctChSupply=0),0.5*(Qs0+Qs1)*(P_1-P_0)/1000000,"")</f>
        <v>0</v>
      </c>
      <c r="F27" s="50" t="s">
        <v>46</v>
      </c>
    </row>
    <row r="28" spans="2:6" ht="12.75">
      <c r="B28" s="54" t="s">
        <v>49</v>
      </c>
      <c r="C28" s="14"/>
      <c r="D28" s="15"/>
      <c r="E28" s="51">
        <f>E26+E27</f>
        <v>0</v>
      </c>
      <c r="F28" s="50" t="s">
        <v>46</v>
      </c>
    </row>
    <row r="29" spans="2:6" ht="12.75">
      <c r="B29" s="52" t="s">
        <v>48</v>
      </c>
      <c r="C29" s="9"/>
      <c r="D29" s="9"/>
      <c r="E29" s="53">
        <f>(M_1*P*(1/(1+Original_tariff))*(1+PctChPrice)*New_tariff-M_0*P*(1/(1+Original_tariff))*Original_tariff)/1000000</f>
        <v>0</v>
      </c>
      <c r="F29" s="52" t="s">
        <v>46</v>
      </c>
    </row>
    <row r="30" spans="2:6" ht="12.75">
      <c r="B30" s="49" t="s">
        <v>47</v>
      </c>
      <c r="C30" s="14"/>
      <c r="D30" s="15"/>
      <c r="E30" s="48"/>
      <c r="F30" s="18"/>
    </row>
    <row r="31" spans="2:6" ht="12.75">
      <c r="B31" s="14"/>
      <c r="C31" s="14"/>
      <c r="D31" s="15"/>
      <c r="E31" s="15"/>
      <c r="F31" s="18"/>
    </row>
    <row r="32" spans="1:15" ht="13.5" thickBot="1">
      <c r="A32" s="8"/>
      <c r="B32" s="8" t="s">
        <v>36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4" ht="13.5" thickTop="1">
      <c r="A33" s="14"/>
      <c r="B33" s="14"/>
      <c r="C33" s="14"/>
      <c r="D33" s="16"/>
      <c r="E33" s="17"/>
      <c r="F33" s="18"/>
      <c r="G33" s="14"/>
      <c r="H33" s="14"/>
      <c r="I33" s="14"/>
      <c r="J33" s="14"/>
      <c r="K33" s="14"/>
      <c r="L33" s="14"/>
      <c r="M33" s="14"/>
      <c r="N33" s="14"/>
    </row>
    <row r="34" spans="1:14" ht="12.75">
      <c r="A34" s="14"/>
      <c r="B34" t="s">
        <v>33</v>
      </c>
      <c r="C34" s="14"/>
      <c r="D34" s="16"/>
      <c r="E34" s="17"/>
      <c r="F34" s="18"/>
      <c r="G34" s="14"/>
      <c r="H34" s="14"/>
      <c r="I34" s="14"/>
      <c r="J34" s="14"/>
      <c r="K34" s="14"/>
      <c r="L34" s="14"/>
      <c r="M34" s="14"/>
      <c r="N34" s="14"/>
    </row>
    <row r="35" spans="2:6" ht="12.75">
      <c r="B35" s="14"/>
      <c r="C35" s="14"/>
      <c r="D35" s="15"/>
      <c r="E35" s="14"/>
      <c r="F35" s="14"/>
    </row>
    <row r="36" spans="2:15" ht="12.75">
      <c r="B36" s="20" t="s">
        <v>34</v>
      </c>
      <c r="C36" s="21"/>
      <c r="D36" s="22"/>
      <c r="E36" s="23"/>
      <c r="G36" s="20" t="s">
        <v>35</v>
      </c>
      <c r="H36" s="21"/>
      <c r="I36" s="21"/>
      <c r="J36" s="21"/>
      <c r="K36" s="21"/>
      <c r="L36" s="21"/>
      <c r="M36" s="21"/>
      <c r="N36" s="21"/>
      <c r="O36" s="46"/>
    </row>
    <row r="37" spans="2:15" ht="12.75">
      <c r="B37" s="24"/>
      <c r="C37" s="14"/>
      <c r="D37" s="15"/>
      <c r="E37" s="25"/>
      <c r="G37" s="24"/>
      <c r="H37" s="9"/>
      <c r="I37" s="10" t="s">
        <v>13</v>
      </c>
      <c r="J37" s="9"/>
      <c r="K37" s="14"/>
      <c r="L37" s="9"/>
      <c r="M37" s="10" t="s">
        <v>14</v>
      </c>
      <c r="N37" s="9"/>
      <c r="O37" s="47" t="s">
        <v>42</v>
      </c>
    </row>
    <row r="38" spans="2:15" ht="12.75">
      <c r="B38" s="26" t="s">
        <v>24</v>
      </c>
      <c r="C38" s="9"/>
      <c r="D38" s="15"/>
      <c r="E38" s="25"/>
      <c r="G38" s="31" t="s">
        <v>6</v>
      </c>
      <c r="H38" s="32" t="s">
        <v>11</v>
      </c>
      <c r="I38" s="32" t="s">
        <v>12</v>
      </c>
      <c r="J38" s="32" t="s">
        <v>0</v>
      </c>
      <c r="K38" s="14"/>
      <c r="L38" s="32" t="s">
        <v>11</v>
      </c>
      <c r="M38" s="32" t="s">
        <v>12</v>
      </c>
      <c r="N38" s="32" t="s">
        <v>0</v>
      </c>
      <c r="O38" s="47" t="s">
        <v>43</v>
      </c>
    </row>
    <row r="39" spans="2:16" ht="12.75">
      <c r="B39" s="24" t="s">
        <v>21</v>
      </c>
      <c r="C39" s="14"/>
      <c r="D39" s="15"/>
      <c r="E39" s="25"/>
      <c r="G39" s="31"/>
      <c r="H39" s="32"/>
      <c r="I39" s="14"/>
      <c r="J39" s="14"/>
      <c r="K39" s="14"/>
      <c r="L39" s="14"/>
      <c r="M39" s="14"/>
      <c r="N39" s="14"/>
      <c r="O39" s="25"/>
      <c r="P39" s="42" t="s">
        <v>40</v>
      </c>
    </row>
    <row r="40" spans="2:16" ht="12.75">
      <c r="B40" s="24" t="s">
        <v>4</v>
      </c>
      <c r="C40" s="14"/>
      <c r="D40" s="27">
        <f>LN(Qs)-Es*LN(P)</f>
        <v>10.45694309827753</v>
      </c>
      <c r="E40" s="25"/>
      <c r="F40">
        <v>1</v>
      </c>
      <c r="G40" s="33">
        <f>F40*P$40</f>
        <v>15000</v>
      </c>
      <c r="H40" s="34"/>
      <c r="I40" s="15"/>
      <c r="J40" s="14">
        <f aca="true" t="shared" si="0" ref="J40:J71">P</f>
        <v>250</v>
      </c>
      <c r="K40" s="14"/>
      <c r="L40" s="14"/>
      <c r="M40" s="14"/>
      <c r="N40" s="17">
        <f aca="true" t="shared" si="1" ref="N40:N71">P_new</f>
        <v>250</v>
      </c>
      <c r="O40" s="25">
        <f aca="true" t="shared" si="2" ref="O40:O71">P/(1+Original_tariff)</f>
        <v>250</v>
      </c>
      <c r="P40" s="2">
        <v>15000</v>
      </c>
    </row>
    <row r="41" spans="2:16" ht="12.75">
      <c r="B41" s="24" t="s">
        <v>5</v>
      </c>
      <c r="C41" s="14"/>
      <c r="D41" s="27">
        <f>Es</f>
        <v>0.5</v>
      </c>
      <c r="E41" s="25"/>
      <c r="F41">
        <f>1+F40</f>
        <v>2</v>
      </c>
      <c r="G41" s="33">
        <f aca="true" t="shared" si="3" ref="G41:G104">F41*P$40</f>
        <v>30000</v>
      </c>
      <c r="H41" s="34"/>
      <c r="I41" s="15"/>
      <c r="J41" s="14">
        <f t="shared" si="0"/>
        <v>250</v>
      </c>
      <c r="K41" s="14"/>
      <c r="L41" s="14"/>
      <c r="M41" s="14"/>
      <c r="N41" s="17">
        <f t="shared" si="1"/>
        <v>250</v>
      </c>
      <c r="O41" s="25">
        <f t="shared" si="2"/>
        <v>250</v>
      </c>
      <c r="P41" s="41"/>
    </row>
    <row r="42" spans="2:15" ht="12.75">
      <c r="B42" s="24"/>
      <c r="C42" s="14"/>
      <c r="D42" s="15"/>
      <c r="E42" s="25"/>
      <c r="F42">
        <f aca="true" t="shared" si="4" ref="F42:F105">1+F41</f>
        <v>3</v>
      </c>
      <c r="G42" s="33">
        <f t="shared" si="3"/>
        <v>45000</v>
      </c>
      <c r="H42" s="34"/>
      <c r="I42" s="15"/>
      <c r="J42" s="14">
        <f t="shared" si="0"/>
        <v>250</v>
      </c>
      <c r="K42" s="14"/>
      <c r="L42" s="14"/>
      <c r="M42" s="14"/>
      <c r="N42" s="17">
        <f t="shared" si="1"/>
        <v>250</v>
      </c>
      <c r="O42" s="25">
        <f t="shared" si="2"/>
        <v>250</v>
      </c>
    </row>
    <row r="43" spans="2:15" ht="12.75">
      <c r="B43" s="26" t="s">
        <v>25</v>
      </c>
      <c r="C43" s="9"/>
      <c r="D43" s="14"/>
      <c r="E43" s="25"/>
      <c r="F43">
        <f t="shared" si="4"/>
        <v>4</v>
      </c>
      <c r="G43" s="33">
        <f t="shared" si="3"/>
        <v>60000</v>
      </c>
      <c r="H43" s="34"/>
      <c r="I43" s="15"/>
      <c r="J43" s="14">
        <f t="shared" si="0"/>
        <v>250</v>
      </c>
      <c r="K43" s="14"/>
      <c r="L43" s="14"/>
      <c r="M43" s="14"/>
      <c r="N43" s="17">
        <f t="shared" si="1"/>
        <v>250</v>
      </c>
      <c r="O43" s="25">
        <f t="shared" si="2"/>
        <v>250</v>
      </c>
    </row>
    <row r="44" spans="2:15" ht="12.75">
      <c r="B44" s="24" t="s">
        <v>22</v>
      </c>
      <c r="C44" s="14"/>
      <c r="D44" s="14"/>
      <c r="E44" s="25"/>
      <c r="F44">
        <f t="shared" si="4"/>
        <v>5</v>
      </c>
      <c r="G44" s="33">
        <f t="shared" si="3"/>
        <v>75000</v>
      </c>
      <c r="H44" s="34"/>
      <c r="I44" s="15"/>
      <c r="J44" s="14">
        <f t="shared" si="0"/>
        <v>250</v>
      </c>
      <c r="K44" s="14"/>
      <c r="L44" s="14"/>
      <c r="M44" s="14"/>
      <c r="N44" s="17">
        <f t="shared" si="1"/>
        <v>250</v>
      </c>
      <c r="O44" s="25">
        <f t="shared" si="2"/>
        <v>250</v>
      </c>
    </row>
    <row r="45" spans="2:15" ht="12.75">
      <c r="B45" s="45" t="s">
        <v>41</v>
      </c>
      <c r="C45" s="14"/>
      <c r="D45" s="15">
        <v>500</v>
      </c>
      <c r="E45" s="25"/>
      <c r="F45">
        <f t="shared" si="4"/>
        <v>6</v>
      </c>
      <c r="G45" s="33">
        <f t="shared" si="3"/>
        <v>90000</v>
      </c>
      <c r="H45" s="34"/>
      <c r="I45" s="15"/>
      <c r="J45" s="14">
        <f t="shared" si="0"/>
        <v>250</v>
      </c>
      <c r="K45" s="14"/>
      <c r="L45" s="14"/>
      <c r="M45" s="14"/>
      <c r="N45" s="17">
        <f t="shared" si="1"/>
        <v>250</v>
      </c>
      <c r="O45" s="25">
        <f t="shared" si="2"/>
        <v>250</v>
      </c>
    </row>
    <row r="46" spans="2:15" ht="12.75">
      <c r="B46" s="24" t="s">
        <v>18</v>
      </c>
      <c r="C46" s="14"/>
      <c r="D46" s="28">
        <f>LN(Qd)-Dbeta*LN(P)-Dgamma*LN(Y)</f>
        <v>13.802715705074739</v>
      </c>
      <c r="E46" s="25"/>
      <c r="F46">
        <f t="shared" si="4"/>
        <v>7</v>
      </c>
      <c r="G46" s="33">
        <f t="shared" si="3"/>
        <v>105000</v>
      </c>
      <c r="H46" s="34"/>
      <c r="I46" s="15"/>
      <c r="J46" s="14">
        <f t="shared" si="0"/>
        <v>250</v>
      </c>
      <c r="K46" s="14"/>
      <c r="L46" s="14"/>
      <c r="M46" s="14"/>
      <c r="N46" s="17">
        <f t="shared" si="1"/>
        <v>250</v>
      </c>
      <c r="O46" s="25">
        <f t="shared" si="2"/>
        <v>250</v>
      </c>
    </row>
    <row r="47" spans="2:15" ht="12.75">
      <c r="B47" s="24" t="s">
        <v>19</v>
      </c>
      <c r="C47" s="14"/>
      <c r="D47" s="28">
        <f>Edp</f>
        <v>-0.5</v>
      </c>
      <c r="E47" s="25"/>
      <c r="F47">
        <f t="shared" si="4"/>
        <v>8</v>
      </c>
      <c r="G47" s="33">
        <f t="shared" si="3"/>
        <v>120000</v>
      </c>
      <c r="H47" s="34"/>
      <c r="I47" s="15"/>
      <c r="J47" s="14">
        <f t="shared" si="0"/>
        <v>250</v>
      </c>
      <c r="K47" s="14"/>
      <c r="L47" s="14"/>
      <c r="M47" s="14"/>
      <c r="N47" s="17">
        <f t="shared" si="1"/>
        <v>250</v>
      </c>
      <c r="O47" s="25">
        <f t="shared" si="2"/>
        <v>250</v>
      </c>
    </row>
    <row r="48" spans="2:15" ht="12.75">
      <c r="B48" s="24" t="s">
        <v>20</v>
      </c>
      <c r="C48" s="14"/>
      <c r="D48" s="27">
        <f>Edy</f>
        <v>0.4</v>
      </c>
      <c r="E48" s="25"/>
      <c r="F48">
        <f t="shared" si="4"/>
        <v>9</v>
      </c>
      <c r="G48" s="33">
        <f t="shared" si="3"/>
        <v>135000</v>
      </c>
      <c r="H48" s="34"/>
      <c r="I48" s="15"/>
      <c r="J48" s="14">
        <f t="shared" si="0"/>
        <v>250</v>
      </c>
      <c r="K48" s="14"/>
      <c r="L48" s="14"/>
      <c r="M48" s="14"/>
      <c r="N48" s="17">
        <f t="shared" si="1"/>
        <v>250</v>
      </c>
      <c r="O48" s="25">
        <f t="shared" si="2"/>
        <v>250</v>
      </c>
    </row>
    <row r="49" spans="2:15" ht="12.75">
      <c r="B49" s="26"/>
      <c r="C49" s="9"/>
      <c r="D49" s="29"/>
      <c r="E49" s="30"/>
      <c r="F49">
        <f t="shared" si="4"/>
        <v>10</v>
      </c>
      <c r="G49" s="33">
        <f t="shared" si="3"/>
        <v>150000</v>
      </c>
      <c r="H49" s="34">
        <f aca="true" t="shared" si="5" ref="H49:H74">EXP((LN($G49)-Salpha)/Sbeta)</f>
        <v>18.595041322314017</v>
      </c>
      <c r="I49" s="15">
        <f aca="true" t="shared" si="6" ref="I49:I64">EXP((LN($G49)-Dalpha-Dgamma*LN(Y))/Dbeta)</f>
        <v>6249.999999999999</v>
      </c>
      <c r="J49" s="14">
        <f t="shared" si="0"/>
        <v>250</v>
      </c>
      <c r="K49" s="14"/>
      <c r="L49" s="34">
        <f aca="true" t="shared" si="7" ref="L49:L74">EXP((LN($G49/(1+D$18))-Salpha)/Sbeta)</f>
        <v>18.595041322314017</v>
      </c>
      <c r="M49" s="15">
        <f aca="true" t="shared" si="8" ref="M49:M64">EXP((LN($G49)-Dalpha-Dgamma*LN(Y*(1+D$17)))/Dbeta)</f>
        <v>6249.999999999999</v>
      </c>
      <c r="N49" s="17">
        <f t="shared" si="1"/>
        <v>250</v>
      </c>
      <c r="O49" s="25">
        <f t="shared" si="2"/>
        <v>250</v>
      </c>
    </row>
    <row r="50" spans="4:15" ht="12.75">
      <c r="D50" s="2"/>
      <c r="F50">
        <f t="shared" si="4"/>
        <v>11</v>
      </c>
      <c r="G50" s="33">
        <f t="shared" si="3"/>
        <v>165000</v>
      </c>
      <c r="H50" s="34">
        <f t="shared" si="5"/>
        <v>22.499999999999996</v>
      </c>
      <c r="I50" s="15">
        <f t="shared" si="6"/>
        <v>5165.289256198338</v>
      </c>
      <c r="J50" s="14">
        <f t="shared" si="0"/>
        <v>250</v>
      </c>
      <c r="K50" s="14"/>
      <c r="L50" s="34">
        <f t="shared" si="7"/>
        <v>22.499999999999996</v>
      </c>
      <c r="M50" s="15">
        <f t="shared" si="8"/>
        <v>5165.289256198338</v>
      </c>
      <c r="N50" s="17">
        <f t="shared" si="1"/>
        <v>250</v>
      </c>
      <c r="O50" s="25">
        <f t="shared" si="2"/>
        <v>250</v>
      </c>
    </row>
    <row r="51" spans="4:15" ht="12.75">
      <c r="D51" s="2"/>
      <c r="F51">
        <f t="shared" si="4"/>
        <v>12</v>
      </c>
      <c r="G51" s="33">
        <f t="shared" si="3"/>
        <v>180000</v>
      </c>
      <c r="H51" s="34">
        <f t="shared" si="5"/>
        <v>26.776859504132197</v>
      </c>
      <c r="I51" s="15">
        <f t="shared" si="6"/>
        <v>4340.277777777775</v>
      </c>
      <c r="J51" s="14">
        <f t="shared" si="0"/>
        <v>250</v>
      </c>
      <c r="K51" s="14"/>
      <c r="L51" s="34">
        <f t="shared" si="7"/>
        <v>26.776859504132197</v>
      </c>
      <c r="M51" s="15">
        <f t="shared" si="8"/>
        <v>4340.277777777775</v>
      </c>
      <c r="N51" s="17">
        <f t="shared" si="1"/>
        <v>250</v>
      </c>
      <c r="O51" s="25">
        <f t="shared" si="2"/>
        <v>250</v>
      </c>
    </row>
    <row r="52" spans="4:15" ht="12.75">
      <c r="D52" s="4"/>
      <c r="F52">
        <f t="shared" si="4"/>
        <v>13</v>
      </c>
      <c r="G52" s="33">
        <f t="shared" si="3"/>
        <v>195000</v>
      </c>
      <c r="H52" s="34">
        <f t="shared" si="5"/>
        <v>31.4256198347107</v>
      </c>
      <c r="I52" s="15">
        <f t="shared" si="6"/>
        <v>3698.2248520710036</v>
      </c>
      <c r="J52" s="14">
        <f t="shared" si="0"/>
        <v>250</v>
      </c>
      <c r="K52" s="14"/>
      <c r="L52" s="34">
        <f t="shared" si="7"/>
        <v>31.4256198347107</v>
      </c>
      <c r="M52" s="15">
        <f t="shared" si="8"/>
        <v>3698.2248520710036</v>
      </c>
      <c r="N52" s="17">
        <f t="shared" si="1"/>
        <v>250</v>
      </c>
      <c r="O52" s="25">
        <f t="shared" si="2"/>
        <v>250</v>
      </c>
    </row>
    <row r="53" spans="6:15" ht="12.75">
      <c r="F53">
        <f t="shared" si="4"/>
        <v>14</v>
      </c>
      <c r="G53" s="33">
        <f t="shared" si="3"/>
        <v>210000</v>
      </c>
      <c r="H53" s="34">
        <f t="shared" si="5"/>
        <v>36.446280991735534</v>
      </c>
      <c r="I53" s="15">
        <f t="shared" si="6"/>
        <v>3188.7755102040755</v>
      </c>
      <c r="J53" s="14">
        <f t="shared" si="0"/>
        <v>250</v>
      </c>
      <c r="K53" s="14"/>
      <c r="L53" s="34">
        <f t="shared" si="7"/>
        <v>36.446280991735534</v>
      </c>
      <c r="M53" s="15">
        <f t="shared" si="8"/>
        <v>3188.7755102040755</v>
      </c>
      <c r="N53" s="17">
        <f t="shared" si="1"/>
        <v>250</v>
      </c>
      <c r="O53" s="25">
        <f t="shared" si="2"/>
        <v>250</v>
      </c>
    </row>
    <row r="54" spans="6:15" ht="12.75">
      <c r="F54">
        <f t="shared" si="4"/>
        <v>15</v>
      </c>
      <c r="G54" s="33">
        <f t="shared" si="3"/>
        <v>225000</v>
      </c>
      <c r="H54" s="34">
        <f t="shared" si="5"/>
        <v>41.83884297520663</v>
      </c>
      <c r="I54" s="15">
        <f t="shared" si="6"/>
        <v>2777.777777777771</v>
      </c>
      <c r="J54" s="14">
        <f t="shared" si="0"/>
        <v>250</v>
      </c>
      <c r="K54" s="14"/>
      <c r="L54" s="34">
        <f t="shared" si="7"/>
        <v>41.83884297520663</v>
      </c>
      <c r="M54" s="15">
        <f t="shared" si="8"/>
        <v>2777.777777777771</v>
      </c>
      <c r="N54" s="17">
        <f t="shared" si="1"/>
        <v>250</v>
      </c>
      <c r="O54" s="25">
        <f t="shared" si="2"/>
        <v>250</v>
      </c>
    </row>
    <row r="55" spans="4:15" ht="12.75">
      <c r="D55" s="6"/>
      <c r="F55">
        <f t="shared" si="4"/>
        <v>16</v>
      </c>
      <c r="G55" s="33">
        <f t="shared" si="3"/>
        <v>240000</v>
      </c>
      <c r="H55" s="34">
        <f t="shared" si="5"/>
        <v>47.60330578512398</v>
      </c>
      <c r="I55" s="15">
        <f t="shared" si="6"/>
        <v>2441.4062499999945</v>
      </c>
      <c r="J55" s="14">
        <f t="shared" si="0"/>
        <v>250</v>
      </c>
      <c r="K55" s="14"/>
      <c r="L55" s="34">
        <f t="shared" si="7"/>
        <v>47.60330578512398</v>
      </c>
      <c r="M55" s="15">
        <f t="shared" si="8"/>
        <v>2441.4062499999945</v>
      </c>
      <c r="N55" s="17">
        <f t="shared" si="1"/>
        <v>250</v>
      </c>
      <c r="O55" s="25">
        <f t="shared" si="2"/>
        <v>250</v>
      </c>
    </row>
    <row r="56" spans="4:15" ht="12.75">
      <c r="D56" s="5"/>
      <c r="F56">
        <f t="shared" si="4"/>
        <v>17</v>
      </c>
      <c r="G56" s="33">
        <f t="shared" si="3"/>
        <v>255000</v>
      </c>
      <c r="H56" s="34">
        <f t="shared" si="5"/>
        <v>53.73966942148749</v>
      </c>
      <c r="I56" s="15">
        <f t="shared" si="6"/>
        <v>2162.6297577854675</v>
      </c>
      <c r="J56" s="14">
        <f t="shared" si="0"/>
        <v>250</v>
      </c>
      <c r="K56" s="14"/>
      <c r="L56" s="34">
        <f t="shared" si="7"/>
        <v>53.73966942148749</v>
      </c>
      <c r="M56" s="15">
        <f t="shared" si="8"/>
        <v>2162.6297577854675</v>
      </c>
      <c r="N56" s="17">
        <f t="shared" si="1"/>
        <v>250</v>
      </c>
      <c r="O56" s="25">
        <f t="shared" si="2"/>
        <v>250</v>
      </c>
    </row>
    <row r="57" spans="4:15" ht="12.75">
      <c r="D57" s="7"/>
      <c r="F57">
        <f t="shared" si="4"/>
        <v>18</v>
      </c>
      <c r="G57" s="33">
        <f t="shared" si="3"/>
        <v>270000</v>
      </c>
      <c r="H57" s="34">
        <f t="shared" si="5"/>
        <v>60.24793388429737</v>
      </c>
      <c r="I57" s="15">
        <f t="shared" si="6"/>
        <v>1929.0123456790136</v>
      </c>
      <c r="J57" s="14">
        <f t="shared" si="0"/>
        <v>250</v>
      </c>
      <c r="K57" s="14"/>
      <c r="L57" s="34">
        <f t="shared" si="7"/>
        <v>60.24793388429737</v>
      </c>
      <c r="M57" s="15">
        <f t="shared" si="8"/>
        <v>1929.0123456790136</v>
      </c>
      <c r="N57" s="17">
        <f t="shared" si="1"/>
        <v>250</v>
      </c>
      <c r="O57" s="25">
        <f t="shared" si="2"/>
        <v>250</v>
      </c>
    </row>
    <row r="58" spans="6:15" ht="12.75">
      <c r="F58">
        <f t="shared" si="4"/>
        <v>19</v>
      </c>
      <c r="G58" s="33">
        <f t="shared" si="3"/>
        <v>285000</v>
      </c>
      <c r="H58" s="34">
        <f t="shared" si="5"/>
        <v>67.12809917355366</v>
      </c>
      <c r="I58" s="15">
        <f t="shared" si="6"/>
        <v>1731.3019390581699</v>
      </c>
      <c r="J58" s="14">
        <f t="shared" si="0"/>
        <v>250</v>
      </c>
      <c r="K58" s="14"/>
      <c r="L58" s="34">
        <f t="shared" si="7"/>
        <v>67.12809917355366</v>
      </c>
      <c r="M58" s="15">
        <f t="shared" si="8"/>
        <v>1731.3019390581699</v>
      </c>
      <c r="N58" s="17">
        <f t="shared" si="1"/>
        <v>250</v>
      </c>
      <c r="O58" s="25">
        <f t="shared" si="2"/>
        <v>250</v>
      </c>
    </row>
    <row r="59" spans="6:15" ht="12.75">
      <c r="F59">
        <f t="shared" si="4"/>
        <v>20</v>
      </c>
      <c r="G59" s="33">
        <f t="shared" si="3"/>
        <v>300000</v>
      </c>
      <c r="H59" s="34">
        <f t="shared" si="5"/>
        <v>74.38016528925607</v>
      </c>
      <c r="I59" s="15">
        <f t="shared" si="6"/>
        <v>1562.4999999999995</v>
      </c>
      <c r="J59" s="14">
        <f t="shared" si="0"/>
        <v>250</v>
      </c>
      <c r="K59" s="14"/>
      <c r="L59" s="34">
        <f t="shared" si="7"/>
        <v>74.38016528925607</v>
      </c>
      <c r="M59" s="15">
        <f t="shared" si="8"/>
        <v>1562.4999999999995</v>
      </c>
      <c r="N59" s="17">
        <f t="shared" si="1"/>
        <v>250</v>
      </c>
      <c r="O59" s="25">
        <f t="shared" si="2"/>
        <v>250</v>
      </c>
    </row>
    <row r="60" spans="6:15" ht="12.75">
      <c r="F60">
        <f t="shared" si="4"/>
        <v>21</v>
      </c>
      <c r="G60" s="33">
        <f t="shared" si="3"/>
        <v>315000</v>
      </c>
      <c r="H60" s="34">
        <f t="shared" si="5"/>
        <v>82.00413223140485</v>
      </c>
      <c r="I60" s="15">
        <f t="shared" si="6"/>
        <v>1417.233560090702</v>
      </c>
      <c r="J60" s="14">
        <f t="shared" si="0"/>
        <v>250</v>
      </c>
      <c r="K60" s="14"/>
      <c r="L60" s="34">
        <f t="shared" si="7"/>
        <v>82.00413223140485</v>
      </c>
      <c r="M60" s="15">
        <f t="shared" si="8"/>
        <v>1417.233560090702</v>
      </c>
      <c r="N60" s="17">
        <f t="shared" si="1"/>
        <v>250</v>
      </c>
      <c r="O60" s="25">
        <f t="shared" si="2"/>
        <v>250</v>
      </c>
    </row>
    <row r="61" spans="6:15" ht="12.75">
      <c r="F61">
        <f t="shared" si="4"/>
        <v>22</v>
      </c>
      <c r="G61" s="33">
        <f t="shared" si="3"/>
        <v>330000</v>
      </c>
      <c r="H61" s="34">
        <f t="shared" si="5"/>
        <v>90</v>
      </c>
      <c r="I61" s="15">
        <f t="shared" si="6"/>
        <v>1291.3223140495843</v>
      </c>
      <c r="J61" s="14">
        <f t="shared" si="0"/>
        <v>250</v>
      </c>
      <c r="K61" s="14"/>
      <c r="L61" s="34">
        <f t="shared" si="7"/>
        <v>90</v>
      </c>
      <c r="M61" s="15">
        <f t="shared" si="8"/>
        <v>1291.3223140495843</v>
      </c>
      <c r="N61" s="17">
        <f t="shared" si="1"/>
        <v>250</v>
      </c>
      <c r="O61" s="25">
        <f t="shared" si="2"/>
        <v>250</v>
      </c>
    </row>
    <row r="62" spans="6:15" ht="12.75">
      <c r="F62">
        <f t="shared" si="4"/>
        <v>23</v>
      </c>
      <c r="G62" s="33">
        <f t="shared" si="3"/>
        <v>345000</v>
      </c>
      <c r="H62" s="34">
        <f t="shared" si="5"/>
        <v>98.36776859504127</v>
      </c>
      <c r="I62" s="15">
        <f t="shared" si="6"/>
        <v>1181.474480151227</v>
      </c>
      <c r="J62" s="14">
        <f t="shared" si="0"/>
        <v>250</v>
      </c>
      <c r="K62" s="14"/>
      <c r="L62" s="34">
        <f t="shared" si="7"/>
        <v>98.36776859504127</v>
      </c>
      <c r="M62" s="15">
        <f t="shared" si="8"/>
        <v>1181.474480151227</v>
      </c>
      <c r="N62" s="17">
        <f t="shared" si="1"/>
        <v>250</v>
      </c>
      <c r="O62" s="25">
        <f t="shared" si="2"/>
        <v>250</v>
      </c>
    </row>
    <row r="63" spans="6:15" ht="12.75">
      <c r="F63">
        <f t="shared" si="4"/>
        <v>24</v>
      </c>
      <c r="G63" s="33">
        <f t="shared" si="3"/>
        <v>360000</v>
      </c>
      <c r="H63" s="34">
        <f t="shared" si="5"/>
        <v>107.1074380165288</v>
      </c>
      <c r="I63" s="15">
        <f t="shared" si="6"/>
        <v>1085.0694444444434</v>
      </c>
      <c r="J63" s="14">
        <f t="shared" si="0"/>
        <v>250</v>
      </c>
      <c r="K63" s="14"/>
      <c r="L63" s="34">
        <f t="shared" si="7"/>
        <v>107.1074380165288</v>
      </c>
      <c r="M63" s="15">
        <f t="shared" si="8"/>
        <v>1085.0694444444434</v>
      </c>
      <c r="N63" s="17">
        <f t="shared" si="1"/>
        <v>250</v>
      </c>
      <c r="O63" s="25">
        <f t="shared" si="2"/>
        <v>250</v>
      </c>
    </row>
    <row r="64" spans="6:15" ht="12.75">
      <c r="F64">
        <f t="shared" si="4"/>
        <v>25</v>
      </c>
      <c r="G64" s="33">
        <f t="shared" si="3"/>
        <v>375000</v>
      </c>
      <c r="H64" s="34">
        <f t="shared" si="5"/>
        <v>116.21900826446281</v>
      </c>
      <c r="I64" s="15">
        <f t="shared" si="6"/>
        <v>999.999999999998</v>
      </c>
      <c r="J64" s="14">
        <f t="shared" si="0"/>
        <v>250</v>
      </c>
      <c r="K64" s="14"/>
      <c r="L64" s="34">
        <f t="shared" si="7"/>
        <v>116.21900826446281</v>
      </c>
      <c r="M64" s="15">
        <f t="shared" si="8"/>
        <v>999.999999999998</v>
      </c>
      <c r="N64" s="17">
        <f t="shared" si="1"/>
        <v>250</v>
      </c>
      <c r="O64" s="25">
        <f t="shared" si="2"/>
        <v>250</v>
      </c>
    </row>
    <row r="65" spans="6:15" ht="12.75">
      <c r="F65">
        <f t="shared" si="4"/>
        <v>26</v>
      </c>
      <c r="G65" s="33">
        <f t="shared" si="3"/>
        <v>390000</v>
      </c>
      <c r="H65" s="34">
        <f t="shared" si="5"/>
        <v>125.70247933884282</v>
      </c>
      <c r="I65" s="15">
        <f aca="true" t="shared" si="9" ref="I65:I96">EXP((LN($G65)-Dalpha-Dgamma*LN(Y))/Dbeta)</f>
        <v>924.5562130177508</v>
      </c>
      <c r="J65" s="14">
        <f t="shared" si="0"/>
        <v>250</v>
      </c>
      <c r="K65" s="14"/>
      <c r="L65" s="34">
        <f t="shared" si="7"/>
        <v>125.70247933884282</v>
      </c>
      <c r="M65" s="15">
        <f aca="true" t="shared" si="10" ref="M65:M96">EXP((LN($G65)-Dalpha-Dgamma*LN(Y*(1+D$17)))/Dbeta)</f>
        <v>924.5562130177508</v>
      </c>
      <c r="N65" s="17">
        <f t="shared" si="1"/>
        <v>250</v>
      </c>
      <c r="O65" s="25">
        <f t="shared" si="2"/>
        <v>250</v>
      </c>
    </row>
    <row r="66" spans="6:15" ht="12.75">
      <c r="F66">
        <f t="shared" si="4"/>
        <v>27</v>
      </c>
      <c r="G66" s="33">
        <f t="shared" si="3"/>
        <v>405000</v>
      </c>
      <c r="H66" s="34">
        <f t="shared" si="5"/>
        <v>135.55785123966936</v>
      </c>
      <c r="I66" s="15">
        <f t="shared" si="9"/>
        <v>857.3388203017819</v>
      </c>
      <c r="J66" s="14">
        <f t="shared" si="0"/>
        <v>250</v>
      </c>
      <c r="K66" s="14"/>
      <c r="L66" s="34">
        <f t="shared" si="7"/>
        <v>135.55785123966936</v>
      </c>
      <c r="M66" s="15">
        <f t="shared" si="10"/>
        <v>857.3388203017819</v>
      </c>
      <c r="N66" s="17">
        <f t="shared" si="1"/>
        <v>250</v>
      </c>
      <c r="O66" s="25">
        <f t="shared" si="2"/>
        <v>250</v>
      </c>
    </row>
    <row r="67" spans="6:15" ht="12.75">
      <c r="F67">
        <f t="shared" si="4"/>
        <v>28</v>
      </c>
      <c r="G67" s="33">
        <f t="shared" si="3"/>
        <v>420000</v>
      </c>
      <c r="H67" s="34">
        <f t="shared" si="5"/>
        <v>145.78512396694217</v>
      </c>
      <c r="I67" s="15">
        <f t="shared" si="9"/>
        <v>797.1938775510187</v>
      </c>
      <c r="J67" s="14">
        <f t="shared" si="0"/>
        <v>250</v>
      </c>
      <c r="K67" s="14"/>
      <c r="L67" s="34">
        <f t="shared" si="7"/>
        <v>145.78512396694217</v>
      </c>
      <c r="M67" s="15">
        <f t="shared" si="10"/>
        <v>797.1938775510187</v>
      </c>
      <c r="N67" s="17">
        <f t="shared" si="1"/>
        <v>250</v>
      </c>
      <c r="O67" s="25">
        <f t="shared" si="2"/>
        <v>250</v>
      </c>
    </row>
    <row r="68" spans="6:15" ht="12.75">
      <c r="F68">
        <f t="shared" si="4"/>
        <v>29</v>
      </c>
      <c r="G68" s="33">
        <f t="shared" si="3"/>
        <v>435000</v>
      </c>
      <c r="H68" s="34">
        <f t="shared" si="5"/>
        <v>156.38429752066125</v>
      </c>
      <c r="I68" s="15">
        <f t="shared" si="9"/>
        <v>743.1629013079647</v>
      </c>
      <c r="J68" s="14">
        <f t="shared" si="0"/>
        <v>250</v>
      </c>
      <c r="K68" s="14"/>
      <c r="L68" s="34">
        <f t="shared" si="7"/>
        <v>156.38429752066125</v>
      </c>
      <c r="M68" s="15">
        <f t="shared" si="10"/>
        <v>743.1629013079647</v>
      </c>
      <c r="N68" s="17">
        <f t="shared" si="1"/>
        <v>250</v>
      </c>
      <c r="O68" s="25">
        <f t="shared" si="2"/>
        <v>250</v>
      </c>
    </row>
    <row r="69" spans="6:15" ht="12.75">
      <c r="F69">
        <f t="shared" si="4"/>
        <v>30</v>
      </c>
      <c r="G69" s="33">
        <f t="shared" si="3"/>
        <v>450000</v>
      </c>
      <c r="H69" s="34">
        <f t="shared" si="5"/>
        <v>167.35537190082655</v>
      </c>
      <c r="I69" s="15">
        <f t="shared" si="9"/>
        <v>694.4444444444426</v>
      </c>
      <c r="J69" s="14">
        <f t="shared" si="0"/>
        <v>250</v>
      </c>
      <c r="K69" s="14"/>
      <c r="L69" s="34">
        <f t="shared" si="7"/>
        <v>167.35537190082655</v>
      </c>
      <c r="M69" s="15">
        <f t="shared" si="10"/>
        <v>694.4444444444426</v>
      </c>
      <c r="N69" s="17">
        <f t="shared" si="1"/>
        <v>250</v>
      </c>
      <c r="O69" s="25">
        <f t="shared" si="2"/>
        <v>250</v>
      </c>
    </row>
    <row r="70" spans="6:15" ht="12.75">
      <c r="F70">
        <f t="shared" si="4"/>
        <v>31</v>
      </c>
      <c r="G70" s="33">
        <f t="shared" si="3"/>
        <v>465000</v>
      </c>
      <c r="H70" s="34">
        <f t="shared" si="5"/>
        <v>178.69834710743763</v>
      </c>
      <c r="I70" s="15">
        <f t="shared" si="9"/>
        <v>650.3642039542145</v>
      </c>
      <c r="J70" s="14">
        <f t="shared" si="0"/>
        <v>250</v>
      </c>
      <c r="K70" s="14"/>
      <c r="L70" s="34">
        <f t="shared" si="7"/>
        <v>178.69834710743763</v>
      </c>
      <c r="M70" s="15">
        <f t="shared" si="10"/>
        <v>650.3642039542145</v>
      </c>
      <c r="N70" s="17">
        <f t="shared" si="1"/>
        <v>250</v>
      </c>
      <c r="O70" s="25">
        <f t="shared" si="2"/>
        <v>250</v>
      </c>
    </row>
    <row r="71" spans="6:15" ht="12.75">
      <c r="F71">
        <f t="shared" si="4"/>
        <v>32</v>
      </c>
      <c r="G71" s="33">
        <f t="shared" si="3"/>
        <v>480000</v>
      </c>
      <c r="H71" s="34">
        <f t="shared" si="5"/>
        <v>190.41322314049594</v>
      </c>
      <c r="I71" s="15">
        <f t="shared" si="9"/>
        <v>610.3515624999985</v>
      </c>
      <c r="J71" s="14">
        <f t="shared" si="0"/>
        <v>250</v>
      </c>
      <c r="K71" s="14"/>
      <c r="L71" s="34">
        <f t="shared" si="7"/>
        <v>190.41322314049594</v>
      </c>
      <c r="M71" s="15">
        <f t="shared" si="10"/>
        <v>610.3515624999985</v>
      </c>
      <c r="N71" s="17">
        <f t="shared" si="1"/>
        <v>250</v>
      </c>
      <c r="O71" s="25">
        <f t="shared" si="2"/>
        <v>250</v>
      </c>
    </row>
    <row r="72" spans="6:15" ht="12.75">
      <c r="F72">
        <f t="shared" si="4"/>
        <v>33</v>
      </c>
      <c r="G72" s="33">
        <f t="shared" si="3"/>
        <v>495000</v>
      </c>
      <c r="H72" s="34">
        <f t="shared" si="5"/>
        <v>202.49999999999972</v>
      </c>
      <c r="I72" s="15">
        <f t="shared" si="9"/>
        <v>573.9210284664827</v>
      </c>
      <c r="J72" s="14">
        <f aca="true" t="shared" si="11" ref="J72:J103">P</f>
        <v>250</v>
      </c>
      <c r="K72" s="14"/>
      <c r="L72" s="34">
        <f t="shared" si="7"/>
        <v>202.49999999999972</v>
      </c>
      <c r="M72" s="15">
        <f t="shared" si="10"/>
        <v>573.9210284664827</v>
      </c>
      <c r="N72" s="17">
        <f aca="true" t="shared" si="12" ref="N72:N103">P_new</f>
        <v>250</v>
      </c>
      <c r="O72" s="25">
        <f aca="true" t="shared" si="13" ref="O72:O103">P/(1+Original_tariff)</f>
        <v>250</v>
      </c>
    </row>
    <row r="73" spans="6:15" ht="12.75">
      <c r="F73">
        <f t="shared" si="4"/>
        <v>34</v>
      </c>
      <c r="G73" s="33">
        <f t="shared" si="3"/>
        <v>510000</v>
      </c>
      <c r="H73" s="34">
        <f t="shared" si="5"/>
        <v>214.95867768595</v>
      </c>
      <c r="I73" s="15">
        <f t="shared" si="9"/>
        <v>540.6574394463668</v>
      </c>
      <c r="J73" s="14">
        <f t="shared" si="11"/>
        <v>250</v>
      </c>
      <c r="K73" s="14"/>
      <c r="L73" s="34">
        <f t="shared" si="7"/>
        <v>214.95867768595</v>
      </c>
      <c r="M73" s="15">
        <f t="shared" si="10"/>
        <v>540.6574394463668</v>
      </c>
      <c r="N73" s="17">
        <f t="shared" si="12"/>
        <v>250</v>
      </c>
      <c r="O73" s="25">
        <f t="shared" si="13"/>
        <v>250</v>
      </c>
    </row>
    <row r="74" spans="6:15" ht="12.75">
      <c r="F74">
        <f t="shared" si="4"/>
        <v>35</v>
      </c>
      <c r="G74" s="33">
        <f t="shared" si="3"/>
        <v>525000</v>
      </c>
      <c r="H74" s="34">
        <f t="shared" si="5"/>
        <v>227.78925619834672</v>
      </c>
      <c r="I74" s="15">
        <f t="shared" si="9"/>
        <v>510.2040816326529</v>
      </c>
      <c r="J74" s="14">
        <f t="shared" si="11"/>
        <v>250</v>
      </c>
      <c r="K74" s="14"/>
      <c r="L74" s="34">
        <f t="shared" si="7"/>
        <v>227.78925619834672</v>
      </c>
      <c r="M74" s="15">
        <f t="shared" si="10"/>
        <v>510.2040816326529</v>
      </c>
      <c r="N74" s="17">
        <f t="shared" si="12"/>
        <v>250</v>
      </c>
      <c r="O74" s="25">
        <f t="shared" si="13"/>
        <v>250</v>
      </c>
    </row>
    <row r="75" spans="6:15" ht="12.75">
      <c r="F75">
        <f t="shared" si="4"/>
        <v>36</v>
      </c>
      <c r="G75" s="33">
        <f t="shared" si="3"/>
        <v>540000</v>
      </c>
      <c r="H75" s="34">
        <f aca="true" t="shared" si="14" ref="H75:H106">EXP((LN($G75)-Salpha)/Sbeta)</f>
        <v>240.9917355371895</v>
      </c>
      <c r="I75" s="15">
        <f t="shared" si="9"/>
        <v>482.2530864197533</v>
      </c>
      <c r="J75" s="14">
        <f t="shared" si="11"/>
        <v>250</v>
      </c>
      <c r="K75" s="14"/>
      <c r="L75" s="34">
        <f aca="true" t="shared" si="15" ref="L75:L106">EXP((LN($G75/(1+D$18))-Salpha)/Sbeta)</f>
        <v>240.9917355371895</v>
      </c>
      <c r="M75" s="15">
        <f t="shared" si="10"/>
        <v>482.2530864197533</v>
      </c>
      <c r="N75" s="17">
        <f t="shared" si="12"/>
        <v>250</v>
      </c>
      <c r="O75" s="25">
        <f t="shared" si="13"/>
        <v>250</v>
      </c>
    </row>
    <row r="76" spans="6:15" ht="12.75">
      <c r="F76">
        <f t="shared" si="4"/>
        <v>37</v>
      </c>
      <c r="G76" s="33">
        <f t="shared" si="3"/>
        <v>555000</v>
      </c>
      <c r="H76" s="34">
        <f t="shared" si="14"/>
        <v>254.56611570247895</v>
      </c>
      <c r="I76" s="15">
        <f t="shared" si="9"/>
        <v>456.5376186997807</v>
      </c>
      <c r="J76" s="14">
        <f t="shared" si="11"/>
        <v>250</v>
      </c>
      <c r="K76" s="14"/>
      <c r="L76" s="34">
        <f t="shared" si="15"/>
        <v>254.56611570247895</v>
      </c>
      <c r="M76" s="15">
        <f t="shared" si="10"/>
        <v>456.5376186997807</v>
      </c>
      <c r="N76" s="17">
        <f t="shared" si="12"/>
        <v>250</v>
      </c>
      <c r="O76" s="25">
        <f t="shared" si="13"/>
        <v>250</v>
      </c>
    </row>
    <row r="77" spans="6:15" ht="12.75">
      <c r="F77">
        <f t="shared" si="4"/>
        <v>38</v>
      </c>
      <c r="G77" s="33">
        <f t="shared" si="3"/>
        <v>570000</v>
      </c>
      <c r="H77" s="34">
        <f t="shared" si="14"/>
        <v>268.5123966942147</v>
      </c>
      <c r="I77" s="15">
        <f t="shared" si="9"/>
        <v>432.8254847645424</v>
      </c>
      <c r="J77" s="14">
        <f t="shared" si="11"/>
        <v>250</v>
      </c>
      <c r="K77" s="14"/>
      <c r="L77" s="34">
        <f t="shared" si="15"/>
        <v>268.5123966942147</v>
      </c>
      <c r="M77" s="15">
        <f t="shared" si="10"/>
        <v>432.8254847645424</v>
      </c>
      <c r="N77" s="17">
        <f t="shared" si="12"/>
        <v>250</v>
      </c>
      <c r="O77" s="25">
        <f t="shared" si="13"/>
        <v>250</v>
      </c>
    </row>
    <row r="78" spans="6:15" ht="12.75">
      <c r="F78">
        <f t="shared" si="4"/>
        <v>39</v>
      </c>
      <c r="G78" s="33">
        <f t="shared" si="3"/>
        <v>585000</v>
      </c>
      <c r="H78" s="34">
        <f t="shared" si="14"/>
        <v>282.83057851239596</v>
      </c>
      <c r="I78" s="15">
        <f t="shared" si="9"/>
        <v>410.9138724523342</v>
      </c>
      <c r="J78" s="14">
        <f t="shared" si="11"/>
        <v>250</v>
      </c>
      <c r="K78" s="14"/>
      <c r="L78" s="34">
        <f t="shared" si="15"/>
        <v>282.83057851239596</v>
      </c>
      <c r="M78" s="15">
        <f t="shared" si="10"/>
        <v>410.9138724523342</v>
      </c>
      <c r="N78" s="17">
        <f t="shared" si="12"/>
        <v>250</v>
      </c>
      <c r="O78" s="25">
        <f t="shared" si="13"/>
        <v>250</v>
      </c>
    </row>
    <row r="79" spans="6:15" ht="12.75">
      <c r="F79">
        <f t="shared" si="4"/>
        <v>40</v>
      </c>
      <c r="G79" s="33">
        <f t="shared" si="3"/>
        <v>600000</v>
      </c>
      <c r="H79" s="34">
        <f t="shared" si="14"/>
        <v>297.52066115702434</v>
      </c>
      <c r="I79" s="15">
        <f t="shared" si="9"/>
        <v>390.62499999999983</v>
      </c>
      <c r="J79" s="14">
        <f t="shared" si="11"/>
        <v>250</v>
      </c>
      <c r="K79" s="14"/>
      <c r="L79" s="34">
        <f t="shared" si="15"/>
        <v>297.52066115702434</v>
      </c>
      <c r="M79" s="15">
        <f t="shared" si="10"/>
        <v>390.62499999999983</v>
      </c>
      <c r="N79" s="17">
        <f t="shared" si="12"/>
        <v>250</v>
      </c>
      <c r="O79" s="25">
        <f t="shared" si="13"/>
        <v>250</v>
      </c>
    </row>
    <row r="80" spans="6:15" ht="12.75">
      <c r="F80">
        <f t="shared" si="4"/>
        <v>41</v>
      </c>
      <c r="G80" s="33">
        <f t="shared" si="3"/>
        <v>615000</v>
      </c>
      <c r="H80" s="34">
        <f t="shared" si="14"/>
        <v>312.58264462809854</v>
      </c>
      <c r="I80" s="15">
        <f t="shared" si="9"/>
        <v>371.80249851279</v>
      </c>
      <c r="J80" s="14">
        <f t="shared" si="11"/>
        <v>250</v>
      </c>
      <c r="K80" s="14"/>
      <c r="L80" s="34">
        <f t="shared" si="15"/>
        <v>312.58264462809854</v>
      </c>
      <c r="M80" s="15">
        <f t="shared" si="10"/>
        <v>371.80249851279</v>
      </c>
      <c r="N80" s="17">
        <f t="shared" si="12"/>
        <v>250</v>
      </c>
      <c r="O80" s="25">
        <f t="shared" si="13"/>
        <v>250</v>
      </c>
    </row>
    <row r="81" spans="6:15" ht="12.75">
      <c r="F81">
        <f t="shared" si="4"/>
        <v>42</v>
      </c>
      <c r="G81" s="33">
        <f t="shared" si="3"/>
        <v>630000</v>
      </c>
      <c r="H81" s="34">
        <f t="shared" si="14"/>
        <v>328.01652892561947</v>
      </c>
      <c r="I81" s="15">
        <f t="shared" si="9"/>
        <v>354.30839002267544</v>
      </c>
      <c r="J81" s="14">
        <f t="shared" si="11"/>
        <v>250</v>
      </c>
      <c r="K81" s="14"/>
      <c r="L81" s="34">
        <f t="shared" si="15"/>
        <v>328.01652892561947</v>
      </c>
      <c r="M81" s="15">
        <f t="shared" si="10"/>
        <v>354.30839002267544</v>
      </c>
      <c r="N81" s="17">
        <f t="shared" si="12"/>
        <v>250</v>
      </c>
      <c r="O81" s="25">
        <f t="shared" si="13"/>
        <v>250</v>
      </c>
    </row>
    <row r="82" spans="6:15" ht="12.75">
      <c r="F82">
        <f t="shared" si="4"/>
        <v>43</v>
      </c>
      <c r="G82" s="33">
        <f t="shared" si="3"/>
        <v>645000</v>
      </c>
      <c r="H82" s="34">
        <f t="shared" si="14"/>
        <v>343.8223140495863</v>
      </c>
      <c r="I82" s="15">
        <f t="shared" si="9"/>
        <v>338.0205516495401</v>
      </c>
      <c r="J82" s="14">
        <f t="shared" si="11"/>
        <v>250</v>
      </c>
      <c r="K82" s="14"/>
      <c r="L82" s="34">
        <f t="shared" si="15"/>
        <v>343.8223140495863</v>
      </c>
      <c r="M82" s="15">
        <f t="shared" si="10"/>
        <v>338.0205516495401</v>
      </c>
      <c r="N82" s="17">
        <f t="shared" si="12"/>
        <v>250</v>
      </c>
      <c r="O82" s="25">
        <f t="shared" si="13"/>
        <v>250</v>
      </c>
    </row>
    <row r="83" spans="6:15" ht="12.75">
      <c r="F83">
        <f t="shared" si="4"/>
        <v>44</v>
      </c>
      <c r="G83" s="33">
        <f t="shared" si="3"/>
        <v>660000</v>
      </c>
      <c r="H83" s="34">
        <f t="shared" si="14"/>
        <v>360.00000000000006</v>
      </c>
      <c r="I83" s="15">
        <f t="shared" si="9"/>
        <v>322.830578512396</v>
      </c>
      <c r="J83" s="14">
        <f t="shared" si="11"/>
        <v>250</v>
      </c>
      <c r="K83" s="14"/>
      <c r="L83" s="34">
        <f t="shared" si="15"/>
        <v>360.00000000000006</v>
      </c>
      <c r="M83" s="15">
        <f t="shared" si="10"/>
        <v>322.830578512396</v>
      </c>
      <c r="N83" s="17">
        <f t="shared" si="12"/>
        <v>250</v>
      </c>
      <c r="O83" s="25">
        <f t="shared" si="13"/>
        <v>250</v>
      </c>
    </row>
    <row r="84" spans="6:15" ht="12.75">
      <c r="F84">
        <f t="shared" si="4"/>
        <v>45</v>
      </c>
      <c r="G84" s="33">
        <f t="shared" si="3"/>
        <v>675000</v>
      </c>
      <c r="H84" s="34">
        <f t="shared" si="14"/>
        <v>376.5495867768592</v>
      </c>
      <c r="I84" s="15">
        <f t="shared" si="9"/>
        <v>308.6419753086416</v>
      </c>
      <c r="J84" s="14">
        <f t="shared" si="11"/>
        <v>250</v>
      </c>
      <c r="K84" s="14"/>
      <c r="L84" s="34">
        <f t="shared" si="15"/>
        <v>376.5495867768592</v>
      </c>
      <c r="M84" s="15">
        <f t="shared" si="10"/>
        <v>308.6419753086416</v>
      </c>
      <c r="N84" s="17">
        <f t="shared" si="12"/>
        <v>250</v>
      </c>
      <c r="O84" s="25">
        <f t="shared" si="13"/>
        <v>250</v>
      </c>
    </row>
    <row r="85" spans="6:15" ht="12.75">
      <c r="F85">
        <f t="shared" si="4"/>
        <v>46</v>
      </c>
      <c r="G85" s="33">
        <f t="shared" si="3"/>
        <v>690000</v>
      </c>
      <c r="H85" s="34">
        <f t="shared" si="14"/>
        <v>393.47107438016513</v>
      </c>
      <c r="I85" s="15">
        <f t="shared" si="9"/>
        <v>295.3686200378067</v>
      </c>
      <c r="J85" s="14">
        <f t="shared" si="11"/>
        <v>250</v>
      </c>
      <c r="K85" s="14"/>
      <c r="L85" s="34">
        <f t="shared" si="15"/>
        <v>393.47107438016513</v>
      </c>
      <c r="M85" s="15">
        <f t="shared" si="10"/>
        <v>295.3686200378067</v>
      </c>
      <c r="N85" s="17">
        <f t="shared" si="12"/>
        <v>250</v>
      </c>
      <c r="O85" s="25">
        <f t="shared" si="13"/>
        <v>250</v>
      </c>
    </row>
    <row r="86" spans="6:15" ht="12.75">
      <c r="F86">
        <f t="shared" si="4"/>
        <v>47</v>
      </c>
      <c r="G86" s="33">
        <f t="shared" si="3"/>
        <v>705000</v>
      </c>
      <c r="H86" s="34">
        <f t="shared" si="14"/>
        <v>410.7644628099163</v>
      </c>
      <c r="I86" s="15">
        <f t="shared" si="9"/>
        <v>282.9334540516072</v>
      </c>
      <c r="J86" s="14">
        <f t="shared" si="11"/>
        <v>250</v>
      </c>
      <c r="K86" s="14"/>
      <c r="L86" s="34">
        <f t="shared" si="15"/>
        <v>410.7644628099163</v>
      </c>
      <c r="M86" s="15">
        <f t="shared" si="10"/>
        <v>282.9334540516072</v>
      </c>
      <c r="N86" s="17">
        <f t="shared" si="12"/>
        <v>250</v>
      </c>
      <c r="O86" s="25">
        <f t="shared" si="13"/>
        <v>250</v>
      </c>
    </row>
    <row r="87" spans="6:15" ht="12.75">
      <c r="F87">
        <f t="shared" si="4"/>
        <v>48</v>
      </c>
      <c r="G87" s="33">
        <f t="shared" si="3"/>
        <v>720000</v>
      </c>
      <c r="H87" s="34">
        <f t="shared" si="14"/>
        <v>428.4297520661153</v>
      </c>
      <c r="I87" s="15">
        <f t="shared" si="9"/>
        <v>271.2673611111108</v>
      </c>
      <c r="J87" s="14">
        <f t="shared" si="11"/>
        <v>250</v>
      </c>
      <c r="K87" s="14"/>
      <c r="L87" s="34">
        <f t="shared" si="15"/>
        <v>428.4297520661153</v>
      </c>
      <c r="M87" s="15">
        <f t="shared" si="10"/>
        <v>271.2673611111108</v>
      </c>
      <c r="N87" s="17">
        <f t="shared" si="12"/>
        <v>250</v>
      </c>
      <c r="O87" s="25">
        <f t="shared" si="13"/>
        <v>250</v>
      </c>
    </row>
    <row r="88" spans="6:15" ht="12.75">
      <c r="F88">
        <f t="shared" si="4"/>
        <v>49</v>
      </c>
      <c r="G88" s="33">
        <f t="shared" si="3"/>
        <v>735000</v>
      </c>
      <c r="H88" s="34">
        <f t="shared" si="14"/>
        <v>446.4669421487604</v>
      </c>
      <c r="I88" s="15">
        <f t="shared" si="9"/>
        <v>260.3082049146184</v>
      </c>
      <c r="J88" s="14">
        <f t="shared" si="11"/>
        <v>250</v>
      </c>
      <c r="K88" s="14"/>
      <c r="L88" s="34">
        <f t="shared" si="15"/>
        <v>446.4669421487604</v>
      </c>
      <c r="M88" s="15">
        <f t="shared" si="10"/>
        <v>260.3082049146184</v>
      </c>
      <c r="N88" s="17">
        <f t="shared" si="12"/>
        <v>250</v>
      </c>
      <c r="O88" s="25">
        <f t="shared" si="13"/>
        <v>250</v>
      </c>
    </row>
    <row r="89" spans="6:15" ht="12.75">
      <c r="F89">
        <f t="shared" si="4"/>
        <v>50</v>
      </c>
      <c r="G89" s="33">
        <f t="shared" si="3"/>
        <v>750000</v>
      </c>
      <c r="H89" s="34">
        <f t="shared" si="14"/>
        <v>464.8760330578513</v>
      </c>
      <c r="I89" s="15">
        <f t="shared" si="9"/>
        <v>249.99999999999946</v>
      </c>
      <c r="J89" s="14">
        <f t="shared" si="11"/>
        <v>250</v>
      </c>
      <c r="K89" s="14"/>
      <c r="L89" s="34">
        <f t="shared" si="15"/>
        <v>464.8760330578513</v>
      </c>
      <c r="M89" s="15">
        <f t="shared" si="10"/>
        <v>249.99999999999946</v>
      </c>
      <c r="N89" s="17">
        <f t="shared" si="12"/>
        <v>250</v>
      </c>
      <c r="O89" s="25">
        <f t="shared" si="13"/>
        <v>250</v>
      </c>
    </row>
    <row r="90" spans="6:15" ht="12.75">
      <c r="F90">
        <f t="shared" si="4"/>
        <v>51</v>
      </c>
      <c r="G90" s="33">
        <f t="shared" si="3"/>
        <v>765000</v>
      </c>
      <c r="H90" s="34">
        <f t="shared" si="14"/>
        <v>483.6570247933886</v>
      </c>
      <c r="I90" s="15">
        <f t="shared" si="9"/>
        <v>240.2921953094958</v>
      </c>
      <c r="J90" s="14">
        <f t="shared" si="11"/>
        <v>250</v>
      </c>
      <c r="K90" s="14"/>
      <c r="L90" s="34">
        <f t="shared" si="15"/>
        <v>483.6570247933886</v>
      </c>
      <c r="M90" s="15">
        <f t="shared" si="10"/>
        <v>240.2921953094958</v>
      </c>
      <c r="N90" s="17">
        <f t="shared" si="12"/>
        <v>250</v>
      </c>
      <c r="O90" s="25">
        <f t="shared" si="13"/>
        <v>250</v>
      </c>
    </row>
    <row r="91" spans="6:15" ht="12.75">
      <c r="F91">
        <f t="shared" si="4"/>
        <v>52</v>
      </c>
      <c r="G91" s="33">
        <f t="shared" si="3"/>
        <v>780000</v>
      </c>
      <c r="H91" s="34">
        <f t="shared" si="14"/>
        <v>502.8099173553714</v>
      </c>
      <c r="I91" s="15">
        <f t="shared" si="9"/>
        <v>231.13905325443764</v>
      </c>
      <c r="J91" s="14">
        <f t="shared" si="11"/>
        <v>250</v>
      </c>
      <c r="K91" s="14"/>
      <c r="L91" s="34">
        <f t="shared" si="15"/>
        <v>502.8099173553714</v>
      </c>
      <c r="M91" s="15">
        <f t="shared" si="10"/>
        <v>231.13905325443764</v>
      </c>
      <c r="N91" s="17">
        <f t="shared" si="12"/>
        <v>250</v>
      </c>
      <c r="O91" s="25">
        <f t="shared" si="13"/>
        <v>250</v>
      </c>
    </row>
    <row r="92" spans="6:15" ht="12.75">
      <c r="F92">
        <f t="shared" si="4"/>
        <v>53</v>
      </c>
      <c r="G92" s="33">
        <f t="shared" si="3"/>
        <v>795000</v>
      </c>
      <c r="H92" s="34">
        <f t="shared" si="14"/>
        <v>522.334710743802</v>
      </c>
      <c r="I92" s="15">
        <f t="shared" si="9"/>
        <v>222.4991100035594</v>
      </c>
      <c r="J92" s="14">
        <f t="shared" si="11"/>
        <v>250</v>
      </c>
      <c r="K92" s="14"/>
      <c r="L92" s="34">
        <f t="shared" si="15"/>
        <v>522.334710743802</v>
      </c>
      <c r="M92" s="15">
        <f t="shared" si="10"/>
        <v>222.4991100035594</v>
      </c>
      <c r="N92" s="17">
        <f t="shared" si="12"/>
        <v>250</v>
      </c>
      <c r="O92" s="25">
        <f t="shared" si="13"/>
        <v>250</v>
      </c>
    </row>
    <row r="93" spans="6:15" ht="12.75">
      <c r="F93">
        <f t="shared" si="4"/>
        <v>54</v>
      </c>
      <c r="G93" s="33">
        <f t="shared" si="3"/>
        <v>810000</v>
      </c>
      <c r="H93" s="34">
        <f t="shared" si="14"/>
        <v>542.2314049586776</v>
      </c>
      <c r="I93" s="15">
        <f t="shared" si="9"/>
        <v>214.33470507544544</v>
      </c>
      <c r="J93" s="14">
        <f t="shared" si="11"/>
        <v>250</v>
      </c>
      <c r="K93" s="14"/>
      <c r="L93" s="34">
        <f t="shared" si="15"/>
        <v>542.2314049586776</v>
      </c>
      <c r="M93" s="15">
        <f t="shared" si="10"/>
        <v>214.33470507544544</v>
      </c>
      <c r="N93" s="17">
        <f t="shared" si="12"/>
        <v>250</v>
      </c>
      <c r="O93" s="25">
        <f t="shared" si="13"/>
        <v>250</v>
      </c>
    </row>
    <row r="94" spans="6:15" ht="12.75">
      <c r="F94">
        <f t="shared" si="4"/>
        <v>55</v>
      </c>
      <c r="G94" s="33">
        <f t="shared" si="3"/>
        <v>825000</v>
      </c>
      <c r="H94" s="34">
        <f t="shared" si="14"/>
        <v>562.499999999999</v>
      </c>
      <c r="I94" s="15">
        <f t="shared" si="9"/>
        <v>206.61157024793383</v>
      </c>
      <c r="J94" s="14">
        <f t="shared" si="11"/>
        <v>250</v>
      </c>
      <c r="K94" s="14"/>
      <c r="L94" s="34">
        <f t="shared" si="15"/>
        <v>562.499999999999</v>
      </c>
      <c r="M94" s="15">
        <f t="shared" si="10"/>
        <v>206.61157024793383</v>
      </c>
      <c r="N94" s="17">
        <f t="shared" si="12"/>
        <v>250</v>
      </c>
      <c r="O94" s="25">
        <f t="shared" si="13"/>
        <v>250</v>
      </c>
    </row>
    <row r="95" spans="6:15" ht="12.75">
      <c r="F95">
        <f t="shared" si="4"/>
        <v>56</v>
      </c>
      <c r="G95" s="33">
        <f t="shared" si="3"/>
        <v>840000</v>
      </c>
      <c r="H95" s="34">
        <f t="shared" si="14"/>
        <v>583.1404958677688</v>
      </c>
      <c r="I95" s="15">
        <f t="shared" si="9"/>
        <v>199.29846938775464</v>
      </c>
      <c r="J95" s="14">
        <f t="shared" si="11"/>
        <v>250</v>
      </c>
      <c r="K95" s="14"/>
      <c r="L95" s="34">
        <f t="shared" si="15"/>
        <v>583.1404958677688</v>
      </c>
      <c r="M95" s="15">
        <f t="shared" si="10"/>
        <v>199.29846938775464</v>
      </c>
      <c r="N95" s="17">
        <f t="shared" si="12"/>
        <v>250</v>
      </c>
      <c r="O95" s="25">
        <f t="shared" si="13"/>
        <v>250</v>
      </c>
    </row>
    <row r="96" spans="6:15" ht="12.75">
      <c r="F96">
        <f t="shared" si="4"/>
        <v>57</v>
      </c>
      <c r="G96" s="33">
        <f t="shared" si="3"/>
        <v>855000</v>
      </c>
      <c r="H96" s="34">
        <f t="shared" si="14"/>
        <v>604.1528925619823</v>
      </c>
      <c r="I96" s="15">
        <f t="shared" si="9"/>
        <v>192.36688211757465</v>
      </c>
      <c r="J96" s="14">
        <f t="shared" si="11"/>
        <v>250</v>
      </c>
      <c r="K96" s="14"/>
      <c r="L96" s="34">
        <f t="shared" si="15"/>
        <v>604.1528925619823</v>
      </c>
      <c r="M96" s="15">
        <f t="shared" si="10"/>
        <v>192.36688211757465</v>
      </c>
      <c r="N96" s="17">
        <f t="shared" si="12"/>
        <v>250</v>
      </c>
      <c r="O96" s="25">
        <f t="shared" si="13"/>
        <v>250</v>
      </c>
    </row>
    <row r="97" spans="6:15" ht="12.75">
      <c r="F97">
        <f t="shared" si="4"/>
        <v>58</v>
      </c>
      <c r="G97" s="33">
        <f t="shared" si="3"/>
        <v>870000</v>
      </c>
      <c r="H97" s="34">
        <f t="shared" si="14"/>
        <v>625.5371900826451</v>
      </c>
      <c r="I97" s="15">
        <f aca="true" t="shared" si="16" ref="I97:I138">EXP((LN($G97)-Dalpha-Dgamma*LN(Y))/Dbeta)</f>
        <v>185.79072532699115</v>
      </c>
      <c r="J97" s="14">
        <f t="shared" si="11"/>
        <v>250</v>
      </c>
      <c r="K97" s="14"/>
      <c r="L97" s="34">
        <f t="shared" si="15"/>
        <v>625.5371900826451</v>
      </c>
      <c r="M97" s="15">
        <f aca="true" t="shared" si="17" ref="M97:M138">EXP((LN($G97)-Dalpha-Dgamma*LN(Y*(1+D$17)))/Dbeta)</f>
        <v>185.79072532699115</v>
      </c>
      <c r="N97" s="17">
        <f t="shared" si="12"/>
        <v>250</v>
      </c>
      <c r="O97" s="25">
        <f t="shared" si="13"/>
        <v>250</v>
      </c>
    </row>
    <row r="98" spans="6:15" ht="12.75">
      <c r="F98">
        <f t="shared" si="4"/>
        <v>59</v>
      </c>
      <c r="G98" s="33">
        <f t="shared" si="3"/>
        <v>885000</v>
      </c>
      <c r="H98" s="34">
        <f t="shared" si="14"/>
        <v>647.293388429751</v>
      </c>
      <c r="I98" s="15">
        <f t="shared" si="16"/>
        <v>179.54610744039064</v>
      </c>
      <c r="J98" s="14">
        <f t="shared" si="11"/>
        <v>250</v>
      </c>
      <c r="K98" s="14"/>
      <c r="L98" s="34">
        <f t="shared" si="15"/>
        <v>647.293388429751</v>
      </c>
      <c r="M98" s="15">
        <f t="shared" si="17"/>
        <v>179.54610744039064</v>
      </c>
      <c r="N98" s="17">
        <f t="shared" si="12"/>
        <v>250</v>
      </c>
      <c r="O98" s="25">
        <f t="shared" si="13"/>
        <v>250</v>
      </c>
    </row>
    <row r="99" spans="6:15" ht="12.75">
      <c r="F99">
        <f t="shared" si="4"/>
        <v>60</v>
      </c>
      <c r="G99" s="33">
        <f t="shared" si="3"/>
        <v>900000</v>
      </c>
      <c r="H99" s="34">
        <f t="shared" si="14"/>
        <v>669.4214876033063</v>
      </c>
      <c r="I99" s="15">
        <f t="shared" si="16"/>
        <v>173.61111111111063</v>
      </c>
      <c r="J99" s="14">
        <f t="shared" si="11"/>
        <v>250</v>
      </c>
      <c r="K99" s="14"/>
      <c r="L99" s="34">
        <f t="shared" si="15"/>
        <v>669.4214876033063</v>
      </c>
      <c r="M99" s="15">
        <f t="shared" si="17"/>
        <v>173.61111111111063</v>
      </c>
      <c r="N99" s="17">
        <f t="shared" si="12"/>
        <v>250</v>
      </c>
      <c r="O99" s="25">
        <f t="shared" si="13"/>
        <v>250</v>
      </c>
    </row>
    <row r="100" spans="6:15" ht="12.75">
      <c r="F100">
        <f t="shared" si="4"/>
        <v>61</v>
      </c>
      <c r="G100" s="33">
        <f t="shared" si="3"/>
        <v>915000</v>
      </c>
      <c r="H100" s="34">
        <f t="shared" si="14"/>
        <v>691.9214876033044</v>
      </c>
      <c r="I100" s="15">
        <f t="shared" si="16"/>
        <v>167.96560064498792</v>
      </c>
      <c r="J100" s="14">
        <f t="shared" si="11"/>
        <v>250</v>
      </c>
      <c r="K100" s="14"/>
      <c r="L100" s="34">
        <f t="shared" si="15"/>
        <v>691.9214876033044</v>
      </c>
      <c r="M100" s="15">
        <f t="shared" si="17"/>
        <v>167.96560064498792</v>
      </c>
      <c r="N100" s="17">
        <f t="shared" si="12"/>
        <v>250</v>
      </c>
      <c r="O100" s="25">
        <f t="shared" si="13"/>
        <v>250</v>
      </c>
    </row>
    <row r="101" spans="6:15" ht="12.75">
      <c r="F101">
        <f t="shared" si="4"/>
        <v>62</v>
      </c>
      <c r="G101" s="33">
        <f t="shared" si="3"/>
        <v>930000</v>
      </c>
      <c r="H101" s="34">
        <f t="shared" si="14"/>
        <v>714.7933884297506</v>
      </c>
      <c r="I101" s="15">
        <f t="shared" si="16"/>
        <v>162.5910509885536</v>
      </c>
      <c r="J101" s="14">
        <f t="shared" si="11"/>
        <v>250</v>
      </c>
      <c r="K101" s="14"/>
      <c r="L101" s="34">
        <f t="shared" si="15"/>
        <v>714.7933884297506</v>
      </c>
      <c r="M101" s="15">
        <f t="shared" si="17"/>
        <v>162.5910509885536</v>
      </c>
      <c r="N101" s="17">
        <f t="shared" si="12"/>
        <v>250</v>
      </c>
      <c r="O101" s="25">
        <f t="shared" si="13"/>
        <v>250</v>
      </c>
    </row>
    <row r="102" spans="6:15" ht="12.75">
      <c r="F102">
        <f t="shared" si="4"/>
        <v>63</v>
      </c>
      <c r="G102" s="33">
        <f t="shared" si="3"/>
        <v>945000</v>
      </c>
      <c r="H102" s="34">
        <f t="shared" si="14"/>
        <v>738.0371900826428</v>
      </c>
      <c r="I102" s="15">
        <f t="shared" si="16"/>
        <v>157.47039556563374</v>
      </c>
      <c r="J102" s="14">
        <f t="shared" si="11"/>
        <v>250</v>
      </c>
      <c r="K102" s="14"/>
      <c r="L102" s="34">
        <f t="shared" si="15"/>
        <v>738.0371900826428</v>
      </c>
      <c r="M102" s="15">
        <f t="shared" si="17"/>
        <v>157.47039556563374</v>
      </c>
      <c r="N102" s="17">
        <f t="shared" si="12"/>
        <v>250</v>
      </c>
      <c r="O102" s="25">
        <f t="shared" si="13"/>
        <v>250</v>
      </c>
    </row>
    <row r="103" spans="6:15" ht="12.75">
      <c r="F103">
        <f t="shared" si="4"/>
        <v>64</v>
      </c>
      <c r="G103" s="33">
        <f t="shared" si="3"/>
        <v>960000</v>
      </c>
      <c r="H103" s="34">
        <f t="shared" si="14"/>
        <v>761.6528925619839</v>
      </c>
      <c r="I103" s="15">
        <f t="shared" si="16"/>
        <v>152.5878906249996</v>
      </c>
      <c r="J103" s="14">
        <f t="shared" si="11"/>
        <v>250</v>
      </c>
      <c r="K103" s="14"/>
      <c r="L103" s="34">
        <f t="shared" si="15"/>
        <v>761.6528925619839</v>
      </c>
      <c r="M103" s="15">
        <f t="shared" si="17"/>
        <v>152.5878906249996</v>
      </c>
      <c r="N103" s="17">
        <f t="shared" si="12"/>
        <v>250</v>
      </c>
      <c r="O103" s="25">
        <f t="shared" si="13"/>
        <v>250</v>
      </c>
    </row>
    <row r="104" spans="6:15" ht="12.75">
      <c r="F104">
        <f t="shared" si="4"/>
        <v>65</v>
      </c>
      <c r="G104" s="33">
        <f t="shared" si="3"/>
        <v>975000</v>
      </c>
      <c r="H104" s="34">
        <f t="shared" si="14"/>
        <v>785.6404958677691</v>
      </c>
      <c r="I104" s="15">
        <f t="shared" si="16"/>
        <v>147.92899408283984</v>
      </c>
      <c r="J104" s="14">
        <f aca="true" t="shared" si="18" ref="J104:J138">P</f>
        <v>250</v>
      </c>
      <c r="K104" s="14"/>
      <c r="L104" s="34">
        <f t="shared" si="15"/>
        <v>785.6404958677691</v>
      </c>
      <c r="M104" s="15">
        <f t="shared" si="17"/>
        <v>147.92899408283984</v>
      </c>
      <c r="N104" s="17">
        <f aca="true" t="shared" si="19" ref="N104:N138">P_new</f>
        <v>250</v>
      </c>
      <c r="O104" s="25">
        <f aca="true" t="shared" si="20" ref="O104:O138">P/(1+Original_tariff)</f>
        <v>250</v>
      </c>
    </row>
    <row r="105" spans="6:15" ht="12.75">
      <c r="F105">
        <f t="shared" si="4"/>
        <v>66</v>
      </c>
      <c r="G105" s="33">
        <f aca="true" t="shared" si="21" ref="G105:G138">F105*P$40</f>
        <v>990000</v>
      </c>
      <c r="H105" s="34">
        <f t="shared" si="14"/>
        <v>809.999999999999</v>
      </c>
      <c r="I105" s="15">
        <f t="shared" si="16"/>
        <v>143.48025711662063</v>
      </c>
      <c r="J105" s="14">
        <f t="shared" si="18"/>
        <v>250</v>
      </c>
      <c r="K105" s="14"/>
      <c r="L105" s="34">
        <f t="shared" si="15"/>
        <v>809.999999999999</v>
      </c>
      <c r="M105" s="15">
        <f t="shared" si="17"/>
        <v>143.48025711662063</v>
      </c>
      <c r="N105" s="17">
        <f t="shared" si="19"/>
        <v>250</v>
      </c>
      <c r="O105" s="25">
        <f t="shared" si="20"/>
        <v>250</v>
      </c>
    </row>
    <row r="106" spans="6:15" ht="12.75">
      <c r="F106">
        <f aca="true" t="shared" si="22" ref="F106:F138">1+F105</f>
        <v>67</v>
      </c>
      <c r="G106" s="33">
        <f t="shared" si="21"/>
        <v>1005000</v>
      </c>
      <c r="H106" s="34">
        <f t="shared" si="14"/>
        <v>834.7314049586782</v>
      </c>
      <c r="I106" s="15">
        <f t="shared" si="16"/>
        <v>139.22922699933133</v>
      </c>
      <c r="J106" s="14">
        <f t="shared" si="18"/>
        <v>250</v>
      </c>
      <c r="K106" s="14"/>
      <c r="L106" s="34">
        <f t="shared" si="15"/>
        <v>834.7314049586782</v>
      </c>
      <c r="M106" s="15">
        <f t="shared" si="17"/>
        <v>139.22922699933133</v>
      </c>
      <c r="N106" s="17">
        <f t="shared" si="19"/>
        <v>250</v>
      </c>
      <c r="O106" s="25">
        <f t="shared" si="20"/>
        <v>250</v>
      </c>
    </row>
    <row r="107" spans="6:15" ht="12.75">
      <c r="F107">
        <f t="shared" si="22"/>
        <v>68</v>
      </c>
      <c r="G107" s="33">
        <f t="shared" si="21"/>
        <v>1020000</v>
      </c>
      <c r="H107" s="34">
        <f aca="true" t="shared" si="23" ref="H107:H138">EXP((LN($G107)-Salpha)/Sbeta)</f>
        <v>859.8347107438002</v>
      </c>
      <c r="I107" s="15">
        <f t="shared" si="16"/>
        <v>135.16435986159166</v>
      </c>
      <c r="J107" s="14">
        <f t="shared" si="18"/>
        <v>250</v>
      </c>
      <c r="K107" s="14"/>
      <c r="L107" s="34">
        <f aca="true" t="shared" si="24" ref="L107:L138">EXP((LN($G107/(1+D$18))-Salpha)/Sbeta)</f>
        <v>859.8347107438002</v>
      </c>
      <c r="M107" s="15">
        <f t="shared" si="17"/>
        <v>135.16435986159166</v>
      </c>
      <c r="N107" s="17">
        <f t="shared" si="19"/>
        <v>250</v>
      </c>
      <c r="O107" s="25">
        <f t="shared" si="20"/>
        <v>250</v>
      </c>
    </row>
    <row r="108" spans="6:15" ht="12.75">
      <c r="F108">
        <f t="shared" si="22"/>
        <v>69</v>
      </c>
      <c r="G108" s="33">
        <f t="shared" si="21"/>
        <v>1035000</v>
      </c>
      <c r="H108" s="34">
        <f t="shared" si="23"/>
        <v>885.3099173553704</v>
      </c>
      <c r="I108" s="15">
        <f t="shared" si="16"/>
        <v>131.27494223902536</v>
      </c>
      <c r="J108" s="14">
        <f t="shared" si="18"/>
        <v>250</v>
      </c>
      <c r="K108" s="14"/>
      <c r="L108" s="34">
        <f t="shared" si="24"/>
        <v>885.3099173553704</v>
      </c>
      <c r="M108" s="15">
        <f t="shared" si="17"/>
        <v>131.27494223902536</v>
      </c>
      <c r="N108" s="17">
        <f t="shared" si="19"/>
        <v>250</v>
      </c>
      <c r="O108" s="25">
        <f t="shared" si="20"/>
        <v>250</v>
      </c>
    </row>
    <row r="109" spans="6:15" ht="12.75">
      <c r="F109">
        <f t="shared" si="22"/>
        <v>70</v>
      </c>
      <c r="G109" s="33">
        <f t="shared" si="21"/>
        <v>1050000</v>
      </c>
      <c r="H109" s="34">
        <f t="shared" si="23"/>
        <v>911.157024793387</v>
      </c>
      <c r="I109" s="15">
        <f t="shared" si="16"/>
        <v>127.55102040816321</v>
      </c>
      <c r="J109" s="14">
        <f t="shared" si="18"/>
        <v>250</v>
      </c>
      <c r="K109" s="14"/>
      <c r="L109" s="34">
        <f t="shared" si="24"/>
        <v>911.157024793387</v>
      </c>
      <c r="M109" s="15">
        <f t="shared" si="17"/>
        <v>127.55102040816321</v>
      </c>
      <c r="N109" s="17">
        <f t="shared" si="19"/>
        <v>250</v>
      </c>
      <c r="O109" s="25">
        <f t="shared" si="20"/>
        <v>250</v>
      </c>
    </row>
    <row r="110" spans="6:15" ht="12.75">
      <c r="F110">
        <f t="shared" si="22"/>
        <v>71</v>
      </c>
      <c r="G110" s="33">
        <f t="shared" si="21"/>
        <v>1065000</v>
      </c>
      <c r="H110" s="34">
        <f t="shared" si="23"/>
        <v>937.3760330578492</v>
      </c>
      <c r="I110" s="15">
        <f t="shared" si="16"/>
        <v>123.98333663955567</v>
      </c>
      <c r="J110" s="14">
        <f t="shared" si="18"/>
        <v>250</v>
      </c>
      <c r="K110" s="14"/>
      <c r="L110" s="34">
        <f t="shared" si="24"/>
        <v>937.3760330578492</v>
      </c>
      <c r="M110" s="15">
        <f t="shared" si="17"/>
        <v>123.98333663955567</v>
      </c>
      <c r="N110" s="17">
        <f t="shared" si="19"/>
        <v>250</v>
      </c>
      <c r="O110" s="25">
        <f t="shared" si="20"/>
        <v>250</v>
      </c>
    </row>
    <row r="111" spans="6:15" ht="12.75">
      <c r="F111">
        <f t="shared" si="22"/>
        <v>72</v>
      </c>
      <c r="G111" s="33">
        <f t="shared" si="21"/>
        <v>1080000</v>
      </c>
      <c r="H111" s="34">
        <f t="shared" si="23"/>
        <v>963.9669421487582</v>
      </c>
      <c r="I111" s="15">
        <f t="shared" si="16"/>
        <v>120.56327160493831</v>
      </c>
      <c r="J111" s="14">
        <f t="shared" si="18"/>
        <v>250</v>
      </c>
      <c r="K111" s="14"/>
      <c r="L111" s="34">
        <f t="shared" si="24"/>
        <v>963.9669421487582</v>
      </c>
      <c r="M111" s="15">
        <f t="shared" si="17"/>
        <v>120.56327160493831</v>
      </c>
      <c r="N111" s="17">
        <f t="shared" si="19"/>
        <v>250</v>
      </c>
      <c r="O111" s="25">
        <f t="shared" si="20"/>
        <v>250</v>
      </c>
    </row>
    <row r="112" spans="6:15" ht="12.75">
      <c r="F112">
        <f t="shared" si="22"/>
        <v>73</v>
      </c>
      <c r="G112" s="33">
        <f t="shared" si="21"/>
        <v>1095000</v>
      </c>
      <c r="H112" s="34">
        <f t="shared" si="23"/>
        <v>990.9297520661149</v>
      </c>
      <c r="I112" s="15">
        <f t="shared" si="16"/>
        <v>117.2827922687182</v>
      </c>
      <c r="J112" s="14">
        <f t="shared" si="18"/>
        <v>250</v>
      </c>
      <c r="K112" s="14"/>
      <c r="L112" s="34">
        <f t="shared" si="24"/>
        <v>990.9297520661149</v>
      </c>
      <c r="M112" s="15">
        <f t="shared" si="17"/>
        <v>117.2827922687182</v>
      </c>
      <c r="N112" s="17">
        <f t="shared" si="19"/>
        <v>250</v>
      </c>
      <c r="O112" s="25">
        <f t="shared" si="20"/>
        <v>250</v>
      </c>
    </row>
    <row r="113" spans="6:15" ht="12.75">
      <c r="F113">
        <f t="shared" si="22"/>
        <v>74</v>
      </c>
      <c r="G113" s="33">
        <f t="shared" si="21"/>
        <v>1110000</v>
      </c>
      <c r="H113" s="34">
        <f t="shared" si="23"/>
        <v>1018.2644628099159</v>
      </c>
      <c r="I113" s="15">
        <f t="shared" si="16"/>
        <v>114.13440467494515</v>
      </c>
      <c r="J113" s="14">
        <f t="shared" si="18"/>
        <v>250</v>
      </c>
      <c r="K113" s="14"/>
      <c r="L113" s="34">
        <f t="shared" si="24"/>
        <v>1018.2644628099159</v>
      </c>
      <c r="M113" s="15">
        <f t="shared" si="17"/>
        <v>114.13440467494515</v>
      </c>
      <c r="N113" s="17">
        <f t="shared" si="19"/>
        <v>250</v>
      </c>
      <c r="O113" s="25">
        <f t="shared" si="20"/>
        <v>250</v>
      </c>
    </row>
    <row r="114" spans="6:15" ht="12.75">
      <c r="F114">
        <f t="shared" si="22"/>
        <v>75</v>
      </c>
      <c r="G114" s="33">
        <f t="shared" si="21"/>
        <v>1125000</v>
      </c>
      <c r="H114" s="34">
        <f t="shared" si="23"/>
        <v>1045.971074380164</v>
      </c>
      <c r="I114" s="15">
        <f t="shared" si="16"/>
        <v>111.11111111111101</v>
      </c>
      <c r="J114" s="14">
        <f t="shared" si="18"/>
        <v>250</v>
      </c>
      <c r="K114" s="14"/>
      <c r="L114" s="34">
        <f t="shared" si="24"/>
        <v>1045.971074380164</v>
      </c>
      <c r="M114" s="15">
        <f t="shared" si="17"/>
        <v>111.11111111111101</v>
      </c>
      <c r="N114" s="17">
        <f t="shared" si="19"/>
        <v>250</v>
      </c>
      <c r="O114" s="25">
        <f t="shared" si="20"/>
        <v>250</v>
      </c>
    </row>
    <row r="115" spans="6:15" ht="12.75">
      <c r="F115">
        <f t="shared" si="22"/>
        <v>76</v>
      </c>
      <c r="G115" s="33">
        <f t="shared" si="21"/>
        <v>1140000</v>
      </c>
      <c r="H115" s="34">
        <f t="shared" si="23"/>
        <v>1074.0495867768589</v>
      </c>
      <c r="I115" s="15">
        <f t="shared" si="16"/>
        <v>108.20637119113557</v>
      </c>
      <c r="J115" s="14">
        <f t="shared" si="18"/>
        <v>250</v>
      </c>
      <c r="K115" s="14"/>
      <c r="L115" s="34">
        <f t="shared" si="24"/>
        <v>1074.0495867768589</v>
      </c>
      <c r="M115" s="15">
        <f t="shared" si="17"/>
        <v>108.20637119113557</v>
      </c>
      <c r="N115" s="17">
        <f t="shared" si="19"/>
        <v>250</v>
      </c>
      <c r="O115" s="25">
        <f t="shared" si="20"/>
        <v>250</v>
      </c>
    </row>
    <row r="116" spans="6:15" ht="12.75">
      <c r="F116">
        <f t="shared" si="22"/>
        <v>77</v>
      </c>
      <c r="G116" s="33">
        <f t="shared" si="21"/>
        <v>1155000</v>
      </c>
      <c r="H116" s="34">
        <f t="shared" si="23"/>
        <v>1102.5</v>
      </c>
      <c r="I116" s="15">
        <f t="shared" si="16"/>
        <v>105.41406645302727</v>
      </c>
      <c r="J116" s="14">
        <f t="shared" si="18"/>
        <v>250</v>
      </c>
      <c r="K116" s="14"/>
      <c r="L116" s="34">
        <f t="shared" si="24"/>
        <v>1102.5</v>
      </c>
      <c r="M116" s="15">
        <f t="shared" si="17"/>
        <v>105.41406645302727</v>
      </c>
      <c r="N116" s="17">
        <f t="shared" si="19"/>
        <v>250</v>
      </c>
      <c r="O116" s="25">
        <f t="shared" si="20"/>
        <v>250</v>
      </c>
    </row>
    <row r="117" spans="6:15" ht="12.75">
      <c r="F117">
        <f t="shared" si="22"/>
        <v>78</v>
      </c>
      <c r="G117" s="33">
        <f t="shared" si="21"/>
        <v>1170000</v>
      </c>
      <c r="H117" s="34">
        <f t="shared" si="23"/>
        <v>1131.322314049584</v>
      </c>
      <c r="I117" s="15">
        <f t="shared" si="16"/>
        <v>102.72846811308354</v>
      </c>
      <c r="J117" s="14">
        <f t="shared" si="18"/>
        <v>250</v>
      </c>
      <c r="K117" s="14"/>
      <c r="L117" s="34">
        <f t="shared" si="24"/>
        <v>1131.322314049584</v>
      </c>
      <c r="M117" s="15">
        <f t="shared" si="17"/>
        <v>102.72846811308354</v>
      </c>
      <c r="N117" s="17">
        <f t="shared" si="19"/>
        <v>250</v>
      </c>
      <c r="O117" s="25">
        <f t="shared" si="20"/>
        <v>250</v>
      </c>
    </row>
    <row r="118" spans="6:15" ht="12.75">
      <c r="F118">
        <f t="shared" si="22"/>
        <v>79</v>
      </c>
      <c r="G118" s="33">
        <f t="shared" si="21"/>
        <v>1185000</v>
      </c>
      <c r="H118" s="34">
        <f t="shared" si="23"/>
        <v>1160.5165289256172</v>
      </c>
      <c r="I118" s="15">
        <f t="shared" si="16"/>
        <v>100.14420765902904</v>
      </c>
      <c r="J118" s="14">
        <f t="shared" si="18"/>
        <v>250</v>
      </c>
      <c r="K118" s="14"/>
      <c r="L118" s="34">
        <f t="shared" si="24"/>
        <v>1160.5165289256172</v>
      </c>
      <c r="M118" s="15">
        <f t="shared" si="17"/>
        <v>100.14420765902904</v>
      </c>
      <c r="N118" s="17">
        <f t="shared" si="19"/>
        <v>250</v>
      </c>
      <c r="O118" s="25">
        <f t="shared" si="20"/>
        <v>250</v>
      </c>
    </row>
    <row r="119" spans="6:15" ht="12.75">
      <c r="F119">
        <f t="shared" si="22"/>
        <v>80</v>
      </c>
      <c r="G119" s="33">
        <f t="shared" si="21"/>
        <v>1200000</v>
      </c>
      <c r="H119" s="34">
        <f t="shared" si="23"/>
        <v>1190.0826446280976</v>
      </c>
      <c r="I119" s="15">
        <f t="shared" si="16"/>
        <v>97.65624999999993</v>
      </c>
      <c r="J119" s="14">
        <f t="shared" si="18"/>
        <v>250</v>
      </c>
      <c r="K119" s="14"/>
      <c r="L119" s="34">
        <f t="shared" si="24"/>
        <v>1190.0826446280976</v>
      </c>
      <c r="M119" s="15">
        <f t="shared" si="17"/>
        <v>97.65624999999993</v>
      </c>
      <c r="N119" s="17">
        <f t="shared" si="19"/>
        <v>250</v>
      </c>
      <c r="O119" s="25">
        <f t="shared" si="20"/>
        <v>250</v>
      </c>
    </row>
    <row r="120" spans="6:15" ht="12.75">
      <c r="F120">
        <f t="shared" si="22"/>
        <v>81</v>
      </c>
      <c r="G120" s="33">
        <f t="shared" si="21"/>
        <v>1215000</v>
      </c>
      <c r="H120" s="34">
        <f t="shared" si="23"/>
        <v>1220.020661157023</v>
      </c>
      <c r="I120" s="15">
        <f t="shared" si="16"/>
        <v>95.25986892242032</v>
      </c>
      <c r="J120" s="14">
        <f t="shared" si="18"/>
        <v>250</v>
      </c>
      <c r="K120" s="14"/>
      <c r="L120" s="34">
        <f t="shared" si="24"/>
        <v>1220.020661157023</v>
      </c>
      <c r="M120" s="15">
        <f t="shared" si="17"/>
        <v>95.25986892242032</v>
      </c>
      <c r="N120" s="17">
        <f t="shared" si="19"/>
        <v>250</v>
      </c>
      <c r="O120" s="25">
        <f t="shared" si="20"/>
        <v>250</v>
      </c>
    </row>
    <row r="121" spans="6:15" ht="12.75">
      <c r="F121">
        <f t="shared" si="22"/>
        <v>82</v>
      </c>
      <c r="G121" s="33">
        <f t="shared" si="21"/>
        <v>1230000</v>
      </c>
      <c r="H121" s="34">
        <f t="shared" si="23"/>
        <v>1250.3305785123944</v>
      </c>
      <c r="I121" s="15">
        <f t="shared" si="16"/>
        <v>92.95062462819749</v>
      </c>
      <c r="J121" s="14">
        <f t="shared" si="18"/>
        <v>250</v>
      </c>
      <c r="K121" s="14"/>
      <c r="L121" s="34">
        <f t="shared" si="24"/>
        <v>1250.3305785123944</v>
      </c>
      <c r="M121" s="15">
        <f t="shared" si="17"/>
        <v>92.95062462819749</v>
      </c>
      <c r="N121" s="17">
        <f t="shared" si="19"/>
        <v>250</v>
      </c>
      <c r="O121" s="25">
        <f t="shared" si="20"/>
        <v>250</v>
      </c>
    </row>
    <row r="122" spans="6:15" ht="12.75">
      <c r="F122">
        <f t="shared" si="22"/>
        <v>83</v>
      </c>
      <c r="G122" s="33">
        <f t="shared" si="21"/>
        <v>1245000</v>
      </c>
      <c r="H122" s="34">
        <f t="shared" si="23"/>
        <v>1281.012396694215</v>
      </c>
      <c r="I122" s="15">
        <f t="shared" si="16"/>
        <v>90.72434315575535</v>
      </c>
      <c r="J122" s="14">
        <f t="shared" si="18"/>
        <v>250</v>
      </c>
      <c r="K122" s="14"/>
      <c r="L122" s="34">
        <f t="shared" si="24"/>
        <v>1281.012396694215</v>
      </c>
      <c r="M122" s="15">
        <f t="shared" si="17"/>
        <v>90.72434315575535</v>
      </c>
      <c r="N122" s="17">
        <f t="shared" si="19"/>
        <v>250</v>
      </c>
      <c r="O122" s="25">
        <f t="shared" si="20"/>
        <v>250</v>
      </c>
    </row>
    <row r="123" spans="6:15" ht="12.75">
      <c r="F123">
        <f t="shared" si="22"/>
        <v>84</v>
      </c>
      <c r="G123" s="33">
        <f t="shared" si="21"/>
        <v>1260000</v>
      </c>
      <c r="H123" s="34">
        <f t="shared" si="23"/>
        <v>1312.066115702478</v>
      </c>
      <c r="I123" s="15">
        <f t="shared" si="16"/>
        <v>88.57709750566885</v>
      </c>
      <c r="J123" s="14">
        <f t="shared" si="18"/>
        <v>250</v>
      </c>
      <c r="K123" s="14"/>
      <c r="L123" s="34">
        <f t="shared" si="24"/>
        <v>1312.066115702478</v>
      </c>
      <c r="M123" s="15">
        <f t="shared" si="17"/>
        <v>88.57709750566885</v>
      </c>
      <c r="N123" s="17">
        <f t="shared" si="19"/>
        <v>250</v>
      </c>
      <c r="O123" s="25">
        <f t="shared" si="20"/>
        <v>250</v>
      </c>
    </row>
    <row r="124" spans="6:15" ht="12.75">
      <c r="F124">
        <f t="shared" si="22"/>
        <v>85</v>
      </c>
      <c r="G124" s="33">
        <f t="shared" si="21"/>
        <v>1275000</v>
      </c>
      <c r="H124" s="34">
        <f t="shared" si="23"/>
        <v>1343.49173553719</v>
      </c>
      <c r="I124" s="15">
        <f t="shared" si="16"/>
        <v>86.50519031141852</v>
      </c>
      <c r="J124" s="14">
        <f t="shared" si="18"/>
        <v>250</v>
      </c>
      <c r="K124" s="14"/>
      <c r="L124" s="34">
        <f t="shared" si="24"/>
        <v>1343.49173553719</v>
      </c>
      <c r="M124" s="15">
        <f t="shared" si="17"/>
        <v>86.50519031141852</v>
      </c>
      <c r="N124" s="17">
        <f t="shared" si="19"/>
        <v>250</v>
      </c>
      <c r="O124" s="25">
        <f t="shared" si="20"/>
        <v>250</v>
      </c>
    </row>
    <row r="125" spans="6:15" ht="12.75">
      <c r="F125">
        <f t="shared" si="22"/>
        <v>86</v>
      </c>
      <c r="G125" s="33">
        <f t="shared" si="21"/>
        <v>1290000</v>
      </c>
      <c r="H125" s="34">
        <f t="shared" si="23"/>
        <v>1375.2892561983454</v>
      </c>
      <c r="I125" s="15">
        <f t="shared" si="16"/>
        <v>84.50513791238501</v>
      </c>
      <c r="J125" s="14">
        <f t="shared" si="18"/>
        <v>250</v>
      </c>
      <c r="K125" s="14"/>
      <c r="L125" s="34">
        <f t="shared" si="24"/>
        <v>1375.2892561983454</v>
      </c>
      <c r="M125" s="15">
        <f t="shared" si="17"/>
        <v>84.50513791238501</v>
      </c>
      <c r="N125" s="17">
        <f t="shared" si="19"/>
        <v>250</v>
      </c>
      <c r="O125" s="25">
        <f t="shared" si="20"/>
        <v>250</v>
      </c>
    </row>
    <row r="126" spans="6:15" ht="12.75">
      <c r="F126">
        <f t="shared" si="22"/>
        <v>87</v>
      </c>
      <c r="G126" s="33">
        <f t="shared" si="21"/>
        <v>1305000</v>
      </c>
      <c r="H126" s="34">
        <f t="shared" si="23"/>
        <v>1407.4586776859496</v>
      </c>
      <c r="I126" s="15">
        <f t="shared" si="16"/>
        <v>82.57365570088507</v>
      </c>
      <c r="J126" s="14">
        <f t="shared" si="18"/>
        <v>250</v>
      </c>
      <c r="K126" s="14"/>
      <c r="L126" s="34">
        <f t="shared" si="24"/>
        <v>1407.4586776859496</v>
      </c>
      <c r="M126" s="15">
        <f t="shared" si="17"/>
        <v>82.57365570088507</v>
      </c>
      <c r="N126" s="17">
        <f t="shared" si="19"/>
        <v>250</v>
      </c>
      <c r="O126" s="25">
        <f t="shared" si="20"/>
        <v>250</v>
      </c>
    </row>
    <row r="127" spans="6:15" ht="12.75">
      <c r="F127">
        <f t="shared" si="22"/>
        <v>88</v>
      </c>
      <c r="G127" s="33">
        <f t="shared" si="21"/>
        <v>1320000</v>
      </c>
      <c r="H127" s="34">
        <f t="shared" si="23"/>
        <v>1440.0000000000005</v>
      </c>
      <c r="I127" s="15">
        <f t="shared" si="16"/>
        <v>80.70764462809899</v>
      </c>
      <c r="J127" s="14">
        <f t="shared" si="18"/>
        <v>250</v>
      </c>
      <c r="K127" s="14"/>
      <c r="L127" s="34">
        <f t="shared" si="24"/>
        <v>1440.0000000000005</v>
      </c>
      <c r="M127" s="15">
        <f t="shared" si="17"/>
        <v>80.70764462809899</v>
      </c>
      <c r="N127" s="17">
        <f t="shared" si="19"/>
        <v>250</v>
      </c>
      <c r="O127" s="25">
        <f t="shared" si="20"/>
        <v>250</v>
      </c>
    </row>
    <row r="128" spans="6:15" ht="12.75">
      <c r="F128">
        <f t="shared" si="22"/>
        <v>89</v>
      </c>
      <c r="G128" s="33">
        <f t="shared" si="21"/>
        <v>1335000</v>
      </c>
      <c r="H128" s="34">
        <f t="shared" si="23"/>
        <v>1472.9132231404947</v>
      </c>
      <c r="I128" s="15">
        <f t="shared" si="16"/>
        <v>78.90417876530732</v>
      </c>
      <c r="J128" s="14">
        <f t="shared" si="18"/>
        <v>250</v>
      </c>
      <c r="K128" s="14"/>
      <c r="L128" s="34">
        <f t="shared" si="24"/>
        <v>1472.9132231404947</v>
      </c>
      <c r="M128" s="15">
        <f t="shared" si="17"/>
        <v>78.90417876530732</v>
      </c>
      <c r="N128" s="17">
        <f t="shared" si="19"/>
        <v>250</v>
      </c>
      <c r="O128" s="25">
        <f t="shared" si="20"/>
        <v>250</v>
      </c>
    </row>
    <row r="129" spans="6:15" ht="12.75">
      <c r="F129">
        <f t="shared" si="22"/>
        <v>90</v>
      </c>
      <c r="G129" s="33">
        <f t="shared" si="21"/>
        <v>1350000</v>
      </c>
      <c r="H129" s="34">
        <f t="shared" si="23"/>
        <v>1506.1983471074373</v>
      </c>
      <c r="I129" s="15">
        <f t="shared" si="16"/>
        <v>77.16049382716038</v>
      </c>
      <c r="J129" s="14">
        <f t="shared" si="18"/>
        <v>250</v>
      </c>
      <c r="K129" s="14"/>
      <c r="L129" s="34">
        <f t="shared" si="24"/>
        <v>1506.1983471074373</v>
      </c>
      <c r="M129" s="15">
        <f t="shared" si="17"/>
        <v>77.16049382716038</v>
      </c>
      <c r="N129" s="17">
        <f t="shared" si="19"/>
        <v>250</v>
      </c>
      <c r="O129" s="25">
        <f t="shared" si="20"/>
        <v>250</v>
      </c>
    </row>
    <row r="130" spans="6:15" ht="12.75">
      <c r="F130">
        <f t="shared" si="22"/>
        <v>91</v>
      </c>
      <c r="G130" s="33">
        <f t="shared" si="21"/>
        <v>1365000</v>
      </c>
      <c r="H130" s="34">
        <f t="shared" si="23"/>
        <v>1539.8553719008248</v>
      </c>
      <c r="I130" s="15">
        <f t="shared" si="16"/>
        <v>75.4739765728776</v>
      </c>
      <c r="J130" s="14">
        <f t="shared" si="18"/>
        <v>250</v>
      </c>
      <c r="K130" s="14"/>
      <c r="L130" s="34">
        <f t="shared" si="24"/>
        <v>1539.8553719008248</v>
      </c>
      <c r="M130" s="15">
        <f t="shared" si="17"/>
        <v>75.4739765728776</v>
      </c>
      <c r="N130" s="17">
        <f t="shared" si="19"/>
        <v>250</v>
      </c>
      <c r="O130" s="25">
        <f t="shared" si="20"/>
        <v>250</v>
      </c>
    </row>
    <row r="131" spans="6:15" ht="12.75">
      <c r="F131">
        <f t="shared" si="22"/>
        <v>92</v>
      </c>
      <c r="G131" s="33">
        <f t="shared" si="21"/>
        <v>1380000</v>
      </c>
      <c r="H131" s="34">
        <f t="shared" si="23"/>
        <v>1573.884297520661</v>
      </c>
      <c r="I131" s="15">
        <f t="shared" si="16"/>
        <v>73.84215500945166</v>
      </c>
      <c r="J131" s="14">
        <f t="shared" si="18"/>
        <v>250</v>
      </c>
      <c r="K131" s="14"/>
      <c r="L131" s="34">
        <f t="shared" si="24"/>
        <v>1573.884297520661</v>
      </c>
      <c r="M131" s="15">
        <f t="shared" si="17"/>
        <v>73.84215500945166</v>
      </c>
      <c r="N131" s="17">
        <f t="shared" si="19"/>
        <v>250</v>
      </c>
      <c r="O131" s="25">
        <f t="shared" si="20"/>
        <v>250</v>
      </c>
    </row>
    <row r="132" spans="6:15" ht="12.75">
      <c r="F132">
        <f t="shared" si="22"/>
        <v>93</v>
      </c>
      <c r="G132" s="33">
        <f t="shared" si="21"/>
        <v>1395000</v>
      </c>
      <c r="H132" s="34">
        <f t="shared" si="23"/>
        <v>1608.2851239669426</v>
      </c>
      <c r="I132" s="15">
        <f t="shared" si="16"/>
        <v>72.26268932824588</v>
      </c>
      <c r="J132" s="14">
        <f t="shared" si="18"/>
        <v>250</v>
      </c>
      <c r="K132" s="14"/>
      <c r="L132" s="34">
        <f t="shared" si="24"/>
        <v>1608.2851239669426</v>
      </c>
      <c r="M132" s="15">
        <f t="shared" si="17"/>
        <v>72.26268932824588</v>
      </c>
      <c r="N132" s="17">
        <f t="shared" si="19"/>
        <v>250</v>
      </c>
      <c r="O132" s="25">
        <f t="shared" si="20"/>
        <v>250</v>
      </c>
    </row>
    <row r="133" spans="6:15" ht="12.75">
      <c r="F133">
        <f t="shared" si="22"/>
        <v>94</v>
      </c>
      <c r="G133" s="33">
        <f t="shared" si="21"/>
        <v>1410000</v>
      </c>
      <c r="H133" s="34">
        <f t="shared" si="23"/>
        <v>1643.0578512396655</v>
      </c>
      <c r="I133" s="15">
        <f t="shared" si="16"/>
        <v>70.73336351290179</v>
      </c>
      <c r="J133" s="14">
        <f t="shared" si="18"/>
        <v>250</v>
      </c>
      <c r="K133" s="14"/>
      <c r="L133" s="34">
        <f t="shared" si="24"/>
        <v>1643.0578512396655</v>
      </c>
      <c r="M133" s="15">
        <f t="shared" si="17"/>
        <v>70.73336351290179</v>
      </c>
      <c r="N133" s="17">
        <f t="shared" si="19"/>
        <v>250</v>
      </c>
      <c r="O133" s="25">
        <f t="shared" si="20"/>
        <v>250</v>
      </c>
    </row>
    <row r="134" spans="6:15" ht="12.75">
      <c r="F134">
        <f t="shared" si="22"/>
        <v>95</v>
      </c>
      <c r="G134" s="33">
        <f t="shared" si="21"/>
        <v>1425000</v>
      </c>
      <c r="H134" s="34">
        <f t="shared" si="23"/>
        <v>1678.2024793388389</v>
      </c>
      <c r="I134" s="15">
        <f t="shared" si="16"/>
        <v>69.2520775623269</v>
      </c>
      <c r="J134" s="14">
        <f t="shared" si="18"/>
        <v>250</v>
      </c>
      <c r="K134" s="14"/>
      <c r="L134" s="34">
        <f t="shared" si="24"/>
        <v>1678.2024793388389</v>
      </c>
      <c r="M134" s="15">
        <f t="shared" si="17"/>
        <v>69.2520775623269</v>
      </c>
      <c r="N134" s="17">
        <f t="shared" si="19"/>
        <v>250</v>
      </c>
      <c r="O134" s="25">
        <f t="shared" si="20"/>
        <v>250</v>
      </c>
    </row>
    <row r="135" spans="6:15" ht="12.75">
      <c r="F135">
        <f t="shared" si="22"/>
        <v>96</v>
      </c>
      <c r="G135" s="33">
        <f t="shared" si="21"/>
        <v>1440000</v>
      </c>
      <c r="H135" s="34">
        <f t="shared" si="23"/>
        <v>1713.7190082644615</v>
      </c>
      <c r="I135" s="15">
        <f t="shared" si="16"/>
        <v>67.8168402777777</v>
      </c>
      <c r="J135" s="14">
        <f t="shared" si="18"/>
        <v>250</v>
      </c>
      <c r="K135" s="14"/>
      <c r="L135" s="34">
        <f t="shared" si="24"/>
        <v>1713.7190082644615</v>
      </c>
      <c r="M135" s="15">
        <f t="shared" si="17"/>
        <v>67.8168402777777</v>
      </c>
      <c r="N135" s="17">
        <f t="shared" si="19"/>
        <v>250</v>
      </c>
      <c r="O135" s="25">
        <f t="shared" si="20"/>
        <v>250</v>
      </c>
    </row>
    <row r="136" spans="6:15" ht="12.75">
      <c r="F136">
        <f t="shared" si="22"/>
        <v>97</v>
      </c>
      <c r="G136" s="33">
        <f t="shared" si="21"/>
        <v>1455000</v>
      </c>
      <c r="H136" s="34">
        <f t="shared" si="23"/>
        <v>1749.607438016528</v>
      </c>
      <c r="I136" s="15">
        <f t="shared" si="16"/>
        <v>66.42576256775418</v>
      </c>
      <c r="J136" s="14">
        <f t="shared" si="18"/>
        <v>250</v>
      </c>
      <c r="K136" s="14"/>
      <c r="L136" s="34">
        <f t="shared" si="24"/>
        <v>1749.607438016528</v>
      </c>
      <c r="M136" s="15">
        <f t="shared" si="17"/>
        <v>66.42576256775418</v>
      </c>
      <c r="N136" s="17">
        <f t="shared" si="19"/>
        <v>250</v>
      </c>
      <c r="O136" s="25">
        <f t="shared" si="20"/>
        <v>250</v>
      </c>
    </row>
    <row r="137" spans="6:15" ht="12.75">
      <c r="F137">
        <f t="shared" si="22"/>
        <v>98</v>
      </c>
      <c r="G137" s="33">
        <f t="shared" si="21"/>
        <v>1470000</v>
      </c>
      <c r="H137" s="34">
        <f t="shared" si="23"/>
        <v>1785.8677685950418</v>
      </c>
      <c r="I137" s="15">
        <f t="shared" si="16"/>
        <v>65.07705122865458</v>
      </c>
      <c r="J137" s="14">
        <f t="shared" si="18"/>
        <v>250</v>
      </c>
      <c r="K137" s="14"/>
      <c r="L137" s="34">
        <f t="shared" si="24"/>
        <v>1785.8677685950418</v>
      </c>
      <c r="M137" s="15">
        <f t="shared" si="17"/>
        <v>65.07705122865458</v>
      </c>
      <c r="N137" s="17">
        <f t="shared" si="19"/>
        <v>250</v>
      </c>
      <c r="O137" s="25">
        <f t="shared" si="20"/>
        <v>250</v>
      </c>
    </row>
    <row r="138" spans="6:15" ht="12.75">
      <c r="F138">
        <f t="shared" si="22"/>
        <v>99</v>
      </c>
      <c r="G138" s="33">
        <f t="shared" si="21"/>
        <v>1485000</v>
      </c>
      <c r="H138" s="34">
        <f t="shared" si="23"/>
        <v>1822.4999999999955</v>
      </c>
      <c r="I138" s="15">
        <f t="shared" si="16"/>
        <v>63.76900316294259</v>
      </c>
      <c r="J138" s="14">
        <f t="shared" si="18"/>
        <v>250</v>
      </c>
      <c r="K138" s="14"/>
      <c r="L138" s="34">
        <f t="shared" si="24"/>
        <v>1822.4999999999955</v>
      </c>
      <c r="M138" s="15">
        <f t="shared" si="17"/>
        <v>63.76900316294259</v>
      </c>
      <c r="N138" s="17">
        <f t="shared" si="19"/>
        <v>250</v>
      </c>
      <c r="O138" s="25">
        <f t="shared" si="20"/>
        <v>250</v>
      </c>
    </row>
    <row r="139" spans="7:15" ht="12.75">
      <c r="G139" s="33"/>
      <c r="H139" s="34"/>
      <c r="I139" s="15"/>
      <c r="J139" s="14"/>
      <c r="K139" s="14"/>
      <c r="L139" s="34"/>
      <c r="M139" s="15"/>
      <c r="N139" s="17"/>
      <c r="O139" s="25"/>
    </row>
    <row r="140" spans="7:15" ht="12.75">
      <c r="G140" s="35"/>
      <c r="H140" s="9"/>
      <c r="I140" s="9"/>
      <c r="J140" s="9"/>
      <c r="K140" s="9"/>
      <c r="L140" s="9"/>
      <c r="M140" s="9"/>
      <c r="N140" s="9"/>
      <c r="O140" s="30"/>
    </row>
    <row r="141" ht="12.75">
      <c r="G141" s="3"/>
    </row>
    <row r="142" ht="12.75">
      <c r="G142" s="3"/>
    </row>
    <row r="143" ht="12.75">
      <c r="G143" s="3"/>
    </row>
    <row r="144" ht="12.75">
      <c r="G144" s="3"/>
    </row>
    <row r="145" ht="12.75">
      <c r="G145" s="3"/>
    </row>
    <row r="146" ht="12.75">
      <c r="G146" s="3"/>
    </row>
    <row r="147" ht="12.75">
      <c r="G147" s="3"/>
    </row>
    <row r="148" ht="12.75">
      <c r="G148" s="3"/>
    </row>
    <row r="149" ht="12.75">
      <c r="G149" s="3"/>
    </row>
    <row r="150" ht="12.75">
      <c r="G150" s="3"/>
    </row>
    <row r="151" ht="12.75">
      <c r="G151" s="3"/>
    </row>
    <row r="152" ht="12.75">
      <c r="G152" s="3"/>
    </row>
    <row r="153" ht="12.75">
      <c r="G153" s="3"/>
    </row>
    <row r="154" ht="12.75">
      <c r="G154" s="3"/>
    </row>
    <row r="155" ht="12.75">
      <c r="G155" s="3"/>
    </row>
    <row r="156" ht="12.75">
      <c r="G156" s="3"/>
    </row>
    <row r="157" ht="12.75">
      <c r="G157" s="3"/>
    </row>
    <row r="158" ht="12.75">
      <c r="G158" s="3"/>
    </row>
    <row r="159" ht="12.75">
      <c r="G159" s="3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IFPRI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Single-market simulation model</dc:title>
  <dc:subject/>
  <dc:creator>Nick Minot</dc:creator>
  <cp:keywords/>
  <dc:description>This Excel spreadsheet can be used to simulate the effects of changes in supply, demand, income, and tariff rates on production, consumption, imports and price.</dc:description>
  <cp:lastModifiedBy>Payne, Kenna</cp:lastModifiedBy>
  <dcterms:created xsi:type="dcterms:W3CDTF">2007-11-05T21:33:01Z</dcterms:created>
  <dcterms:modified xsi:type="dcterms:W3CDTF">2018-05-23T19:49:46Z</dcterms:modified>
  <cp:category/>
  <cp:version/>
  <cp:contentType/>
  <cp:contentStatus/>
</cp:coreProperties>
</file>