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30" windowHeight="11025" activeTab="0"/>
  </bookViews>
  <sheets>
    <sheet name="Instructions" sheetId="1" r:id="rId1"/>
    <sheet name="Emergency Planner" sheetId="2" r:id="rId2"/>
    <sheet name="Hidden" sheetId="3" state="hidden" r:id="rId3"/>
    <sheet name="Documentation" sheetId="4" state="hidden" r:id="rId4"/>
  </sheets>
  <definedNames>
    <definedName name="AmendmentVolume">'Emergency Planner'!$P$14</definedName>
    <definedName name="binBatchDuration">#REF!</definedName>
    <definedName name="BinCompoostingDuration">#REF!</definedName>
    <definedName name="BinHeight">#REF!</definedName>
    <definedName name="BinLength">#REF!</definedName>
    <definedName name="BinNumStorageBins">#REF!</definedName>
    <definedName name="BinWidth">#REF!</definedName>
    <definedName name="BovineCarcassWt">'Emergency Planner'!$P$28</definedName>
    <definedName name="bovineDensity">'Emergency Planner'!$P$29</definedName>
    <definedName name="bovineMortality">'Emergency Planner'!$F$32</definedName>
    <definedName name="bovineVolume">'Emergency Planner'!$P$30</definedName>
    <definedName name="CompostingSystem">'Hidden'!$D$20</definedName>
    <definedName name="cubicFtPerYard">'Emergency Planner'!$S$13</definedName>
    <definedName name="DaysPerMonth">#REF!</definedName>
    <definedName name="eBinConstructionVolume">'Emergency Planner'!$Q$72</definedName>
    <definedName name="eBineCapacityUsed">'Emergency Planner'!$Q$73</definedName>
    <definedName name="eBinEffVolume">'Emergency Planner'!$Q$71</definedName>
    <definedName name="eBinLength">'Emergency Planner'!$F$71</definedName>
    <definedName name="eBinWidth">'Emergency Planner'!$F$72</definedName>
    <definedName name="eDepth">'Emergency Planner'!$F$73</definedName>
    <definedName name="effVolume1Windrow">'Emergency Planner'!$Q$87</definedName>
    <definedName name="effVolume2Windrow">'Emergency Planner'!$S$88</definedName>
    <definedName name="effVolume3Windrow">'Emergency Planner'!$U$88</definedName>
    <definedName name="effVolume4Windrow">'Emergency Planner'!$W$88</definedName>
    <definedName name="eMaxMortalityWt">'Emergency Planner'!#REF!</definedName>
    <definedName name="emergencyCarcassVolume">'Emergency Planner'!$P$12</definedName>
    <definedName name="EmergencyCompostingSystem">'Hidden'!$D$27</definedName>
    <definedName name="EmergencyFarmMortality" localSheetId="1">'Emergency Planner'!$P$10</definedName>
    <definedName name="EmergencyProducer2Type">'Hidden'!#REF!</definedName>
    <definedName name="EmergencyProducer3Type">'Hidden'!#REF!</definedName>
    <definedName name="EmergencyProducerType">'Hidden'!#REF!</definedName>
    <definedName name="EmergencyTissueVolume">'Emergency Planner'!$P$11</definedName>
    <definedName name="EquineCarcassWt">'Emergency Planner'!$P$46</definedName>
    <definedName name="equineDensity">'Emergency Planner'!$P$47</definedName>
    <definedName name="equineMortality">'Emergency Planner'!$F$50</definedName>
    <definedName name="equineVolume">'Emergency Planner'!$P$48</definedName>
    <definedName name="heightMaterial">'Emergency Planner'!$F$84</definedName>
    <definedName name="lengthWindrow">'Emergency Planner'!#REF!</definedName>
    <definedName name="MortailityPerDay">#REF!</definedName>
    <definedName name="numWindrows2Needed">'Emergency Planner'!$S$89</definedName>
    <definedName name="numWindrows2Rounded">'Emergency Planner'!$S$90</definedName>
    <definedName name="numWindrows3Needed">'Emergency Planner'!$U$89</definedName>
    <definedName name="numWindrows3Rounded">'Emergency Planner'!$U$90</definedName>
    <definedName name="numWindrows4Needed">'Emergency Planner'!$W$89</definedName>
    <definedName name="numWindrows4Rounded">'Emergency Planner'!$W$90</definedName>
    <definedName name="numWindrowsNeeded">'Emergency Planner'!$Q$88</definedName>
    <definedName name="numWindrowsRounded">'Emergency Planner'!$Q$89</definedName>
    <definedName name="PctWindrowsOverCapacity">'Emergency Planner'!#REF!</definedName>
    <definedName name="PoultryCarcassWt">'Emergency Planner'!$P$38</definedName>
    <definedName name="poultryDensity">'Emergency Planner'!$P$39</definedName>
    <definedName name="poultryMortality">'Emergency Planner'!$F$41</definedName>
    <definedName name="PoultryRows">'Emergency Planner'!$B$34:$B$42</definedName>
    <definedName name="poultryVolume">'Emergency Planner'!$P$40</definedName>
    <definedName name="_xlnm.Print_Area" localSheetId="1">'Emergency Planner'!$A$7:$M$103</definedName>
    <definedName name="_xlnm.Print_Titles" localSheetId="1">'Emergency Planner'!$1:$7</definedName>
    <definedName name="Producer2Type">'Hidden'!$D$22</definedName>
    <definedName name="Producer3Type">'Hidden'!$D$23</definedName>
    <definedName name="ProducerType">'Hidden'!$D$21</definedName>
    <definedName name="RuminantCarcassWt">'Emergency Planner'!$P$55</definedName>
    <definedName name="ruminantDensity">'Emergency Planner'!$P$56</definedName>
    <definedName name="ruminantMortality">'Emergency Planner'!$F$59</definedName>
    <definedName name="ruminantVolume">'Emergency Planner'!$P$57</definedName>
    <definedName name="SwineCarcassWt">'Emergency Planner'!$P$19</definedName>
    <definedName name="swineDensity">'Emergency Planner'!$P$20</definedName>
    <definedName name="swineMortality">'Emergency Planner'!$F$23</definedName>
    <definedName name="SwineRows" localSheetId="1">'Emergency Planner'!$17:$25</definedName>
    <definedName name="SwineRows">#REF!</definedName>
    <definedName name="swineVolume">'Emergency Planner'!$P$21</definedName>
    <definedName name="TargetTissueDensity" localSheetId="1">'Emergency Planner'!$E$15</definedName>
    <definedName name="TargetTissueDensity">#REF!</definedName>
    <definedName name="useBovineMortality">'Hidden'!$D$31</definedName>
    <definedName name="useEquineMortality">'Hidden'!$D$33</definedName>
    <definedName name="usePoultryMortality">'Hidden'!$D$32</definedName>
    <definedName name="useSmallRuminantMortality">'Hidden'!$D$34</definedName>
    <definedName name="UseSwineMortality">'Hidden'!$D$30</definedName>
    <definedName name="widthWindrow">'Emergency Planner'!$F$83</definedName>
    <definedName name="Windrow1ApronArea">'Emergency Planner'!$F$99</definedName>
    <definedName name="windrow1Length">'Emergency Planner'!$F$93</definedName>
    <definedName name="Windrow1PadArea">'Emergency Planner'!$F$100</definedName>
    <definedName name="Windrow2ApronArea">'Emergency Planner'!$H$99</definedName>
    <definedName name="windrow2Length">'Emergency Planner'!$H$93</definedName>
    <definedName name="Windrow2PadArea">'Emergency Planner'!$H$100</definedName>
    <definedName name="Windrow3ApronArea">'Emergency Planner'!$J$99</definedName>
    <definedName name="windrow3Length">'Emergency Planner'!$J$93</definedName>
    <definedName name="Windrow3PadArea">'Emergency Planner'!$J$100</definedName>
    <definedName name="Windrow4ApronArea">'Emergency Planner'!$L$99</definedName>
    <definedName name="windrow4Length">'Emergency Planner'!$L$93</definedName>
    <definedName name="Windrow4PadArea">'Emergency Planner'!$L$100</definedName>
    <definedName name="WindrowApronArea">'Emergency Planner'!#REF!</definedName>
    <definedName name="WindrowPadArea">'Emergency Planner'!#REF!</definedName>
    <definedName name="workingSpaceWidth">'Emergency Planner'!$F$85</definedName>
  </definedNames>
  <calcPr fullCalcOnLoad="1"/>
</workbook>
</file>

<file path=xl/comments2.xml><?xml version="1.0" encoding="utf-8"?>
<comments xmlns="http://schemas.openxmlformats.org/spreadsheetml/2006/main">
  <authors>
    <author>Dale W Rozeboom</author>
    <author>Dale</author>
    <author>Dale Rozeboom</author>
    <author>Kriegel, Robert</author>
  </authors>
  <commentList>
    <comment ref="D15" authorId="0">
      <text>
        <r>
          <rPr>
            <sz val="8"/>
            <rFont val="Tahoma"/>
            <family val="2"/>
          </rPr>
          <t>Also known as "volume factor" or "volume coefficient" or the "bulking agent to mortality ratio". This is the most important factor in determining composting volume. This density has been determined through experimentation and animal tissue composting has been successfully accomplished using densities varying from 0.05 to 15.  However, when greater than 10 lb/ft3 intensive aeration and moisture management is necessary.</t>
        </r>
      </text>
    </comment>
    <comment ref="E30" authorId="1">
      <text>
        <r>
          <rPr>
            <sz val="9"/>
            <rFont val="Tahoma"/>
            <family val="2"/>
          </rPr>
          <t>Average weight of animal during production phase in pounds is essentially the average weight of mortality in this phase of production.</t>
        </r>
      </text>
    </comment>
    <comment ref="E39" authorId="1">
      <text>
        <r>
          <rPr>
            <sz val="9"/>
            <rFont val="Tahoma"/>
            <family val="2"/>
          </rPr>
          <t>Average weight of animal during production phase in pounds is essentially the average weight of mortality in this phase of production.</t>
        </r>
      </text>
    </comment>
    <comment ref="E48" authorId="1">
      <text>
        <r>
          <rPr>
            <sz val="9"/>
            <rFont val="Tahoma"/>
            <family val="2"/>
          </rPr>
          <t>Average weight of animal during production phase in pounds is essentially the average weight of mortality in this phase of production.</t>
        </r>
      </text>
    </comment>
    <comment ref="E71" authorId="1">
      <text>
        <r>
          <rPr>
            <sz val="9"/>
            <rFont val="Tahoma"/>
            <family val="2"/>
          </rPr>
          <t xml:space="preserve">Length is from the front to the back of bin. The front is the open end. The back is the reinforced "push" wall.
It is recommended that compost remain inside the bin, so plan to keep about 4 inches of the floor at the front of the bin uncovered or clean during composting. 
Select bin dimensions so that "volume needed per desired time" is equal to or slightly greater than the "effective volume" of the bin. Enter bin dimensions by "trial and error." Generally, machinery operation is easier in bins that are wider rather than longer.  </t>
        </r>
      </text>
    </comment>
    <comment ref="E72" authorId="1">
      <text>
        <r>
          <rPr>
            <sz val="9"/>
            <rFont val="Tahoma"/>
            <family val="2"/>
          </rPr>
          <t xml:space="preserve">Width is side to side.
Once again, select bin dimensions so that "volume needed per desired time" is equal to or slightly greater than the "effective volume" of the bin. Enter bin dimensions by "trial and error." Generally, machinery operation is easier in bins that are wider rather than longer.  </t>
        </r>
      </text>
    </comment>
    <comment ref="E78" authorId="1">
      <text>
        <r>
          <rPr>
            <sz val="9"/>
            <rFont val="Tahoma"/>
            <family val="2"/>
          </rPr>
          <t>Effective volume of the bin is corrected for slope going up at 60° on the face or front of material in the bin.  The equation used is:
= (width*height*length) - (width* (tangent of 30º angle) *SQR(height)/2)</t>
        </r>
      </text>
    </comment>
    <comment ref="Q71" authorId="2">
      <text>
        <r>
          <rPr>
            <sz val="8"/>
            <rFont val="Tahoma"/>
            <family val="2"/>
          </rPr>
          <t>Corrected for slope (going up at 60° on the face or front of material in the bin) = (width*height*length) - (width* ((tangent of 30</t>
        </r>
        <r>
          <rPr>
            <sz val="8"/>
            <rFont val="Arial"/>
            <family val="2"/>
          </rPr>
          <t>º</t>
        </r>
        <r>
          <rPr>
            <sz val="8"/>
            <rFont val="Tahoma"/>
            <family val="2"/>
          </rPr>
          <t xml:space="preserve"> angle*) *(height</t>
        </r>
        <r>
          <rPr>
            <vertAlign val="superscript"/>
            <sz val="8"/>
            <rFont val="Tahoma"/>
            <family val="2"/>
          </rPr>
          <t>2</t>
        </r>
        <r>
          <rPr>
            <sz val="8"/>
            <rFont val="Tahoma"/>
            <family val="2"/>
          </rPr>
          <t>/2))</t>
        </r>
      </text>
    </comment>
    <comment ref="E73" authorId="1">
      <text>
        <r>
          <rPr>
            <sz val="9"/>
            <rFont val="Tahoma"/>
            <family val="2"/>
          </rPr>
          <t>Typically 4 to 6 feet deep.  Greater depths result in less air in the compost and slower decomposition.</t>
        </r>
      </text>
    </comment>
    <comment ref="E76" authorId="1">
      <text>
        <r>
          <rPr>
            <sz val="9"/>
            <rFont val="Tahoma"/>
            <family val="2"/>
          </rPr>
          <t>Sum of construction volume for all bins.
"Effective volume" is greater than "Construction volume" because we assume bins are only three-sided and that there is a sloped face on material along the open side of the bin.
Construction volume is the same as Total volume.</t>
        </r>
      </text>
    </comment>
    <comment ref="E77" authorId="1">
      <text>
        <r>
          <rPr>
            <sz val="9"/>
            <rFont val="Tahoma"/>
            <family val="2"/>
          </rPr>
          <t>This is the total area of all bin floors.</t>
        </r>
      </text>
    </comment>
    <comment ref="E83" authorId="1">
      <text>
        <r>
          <rPr>
            <sz val="9"/>
            <rFont val="Tahoma"/>
            <family val="2"/>
          </rPr>
          <t xml:space="preserve">Select windrow dimensions so that "volume needed per desired time" is equal to or slightly greater than the "effective volume" of the windrow.  Determine these by "trial and error."
Iowa State University research has suggested that typical base widths for large bovine carcasses laid spine-to-spine are 18 ft and initial windrow heights are typically about 0.5 of the windrow width. </t>
        </r>
      </text>
    </comment>
    <comment ref="E84" authorId="1">
      <text>
        <r>
          <rPr>
            <sz val="9"/>
            <rFont val="Tahoma"/>
            <family val="2"/>
          </rPr>
          <t xml:space="preserve">Initial windrow heights are typically about 0.5 of the windrow width. </t>
        </r>
      </text>
    </comment>
    <comment ref="E85" authorId="1">
      <text>
        <r>
          <rPr>
            <sz val="9"/>
            <rFont val="Tahoma"/>
            <family val="2"/>
          </rPr>
          <t>This is the area around piles needed for pile formation and mixing using a bucket loader. Enter the linear distance from the edge of the compost material (where is meets the inside border of the apron) to outside border of apron.</t>
        </r>
      </text>
    </comment>
    <comment ref="O21" authorId="3">
      <text>
        <r>
          <rPr>
            <sz val="9"/>
            <rFont val="Tahoma"/>
            <family val="2"/>
          </rPr>
          <t>volume = mass/density</t>
        </r>
      </text>
    </comment>
    <comment ref="E57" authorId="1">
      <text>
        <r>
          <rPr>
            <sz val="9"/>
            <rFont val="Tahoma"/>
            <family val="2"/>
          </rPr>
          <t>Average weight of animal during production phase in pounds is essentially the average weight of mortality in this phase of production.</t>
        </r>
      </text>
    </comment>
    <comment ref="E97" authorId="3">
      <text>
        <r>
          <rPr>
            <sz val="9"/>
            <rFont val="Tahoma"/>
            <family val="2"/>
          </rPr>
          <t>Windows could compost this percent of the projected mortality given the available length and available width you've entered.</t>
        </r>
      </text>
    </comment>
    <comment ref="E94" authorId="1">
      <text>
        <r>
          <rPr>
            <sz val="9"/>
            <rFont val="Tahoma"/>
            <family val="2"/>
          </rPr>
          <t>The total number of windrows of this size needed.</t>
        </r>
      </text>
    </comment>
    <comment ref="E99" authorId="1">
      <text>
        <r>
          <rPr>
            <sz val="9"/>
            <rFont val="Tahoma"/>
            <family val="2"/>
          </rPr>
          <t>Perimeter around windrow necessary for windrow formation and mixing using a bucket loader. Space depends on size of tractor and loader. Concrete buck walls facilitate mixing.
Less space may be needed with use of specialized turning equipment.
An open space equivalent to the size of one windrow may be needed to facilitate turning of existing windrows.</t>
        </r>
      </text>
    </comment>
    <comment ref="E98" authorId="3">
      <text>
        <r>
          <rPr>
            <sz val="9"/>
            <rFont val="Tahoma"/>
            <family val="2"/>
          </rPr>
          <t>Given the available length, this projects the pad width needed to compost 100% of the mortality.</t>
        </r>
      </text>
    </comment>
  </commentList>
</comments>
</file>

<file path=xl/sharedStrings.xml><?xml version="1.0" encoding="utf-8"?>
<sst xmlns="http://schemas.openxmlformats.org/spreadsheetml/2006/main" count="329" uniqueCount="221">
  <si>
    <t>Nursery</t>
  </si>
  <si>
    <t>Wean-Finish</t>
  </si>
  <si>
    <t>Grow-Finish</t>
  </si>
  <si>
    <t>Layers</t>
  </si>
  <si>
    <t>Calves</t>
  </si>
  <si>
    <t>Heifers</t>
  </si>
  <si>
    <t>Cows</t>
  </si>
  <si>
    <t>Feeder Cattle</t>
  </si>
  <si>
    <t>Breeding Herd</t>
  </si>
  <si>
    <t>Item</t>
  </si>
  <si>
    <t>Turkeys</t>
  </si>
  <si>
    <t>Others</t>
  </si>
  <si>
    <t>Adults</t>
  </si>
  <si>
    <t>Foals</t>
  </si>
  <si>
    <r>
      <t xml:space="preserve"> lb/ft</t>
    </r>
    <r>
      <rPr>
        <vertAlign val="superscript"/>
        <sz val="10"/>
        <rFont val="Arial"/>
        <family val="2"/>
      </rPr>
      <t>3</t>
    </r>
  </si>
  <si>
    <r>
      <t xml:space="preserve"> ft</t>
    </r>
    <r>
      <rPr>
        <vertAlign val="superscript"/>
        <sz val="10"/>
        <rFont val="Arial"/>
        <family val="2"/>
      </rPr>
      <t>3</t>
    </r>
  </si>
  <si>
    <t xml:space="preserve">Target animal tissue density: </t>
  </si>
  <si>
    <r>
      <t xml:space="preserve"> ft</t>
    </r>
    <r>
      <rPr>
        <vertAlign val="superscript"/>
        <sz val="10"/>
        <rFont val="Arial"/>
        <family val="2"/>
      </rPr>
      <t>2</t>
    </r>
  </si>
  <si>
    <t>Compost Facility Summary</t>
  </si>
  <si>
    <t xml:space="preserve"> ft</t>
  </si>
  <si>
    <t xml:space="preserve">Average weight of animals during phase (lb): </t>
  </si>
  <si>
    <t xml:space="preserve">Bin length: </t>
  </si>
  <si>
    <t xml:space="preserve">Bin width: </t>
  </si>
  <si>
    <t xml:space="preserve">Construction volume = </t>
  </si>
  <si>
    <t xml:space="preserve">Name: </t>
  </si>
  <si>
    <t xml:space="preserve">Phone: </t>
  </si>
  <si>
    <t xml:space="preserve">Fax: </t>
  </si>
  <si>
    <t xml:space="preserve">Address: </t>
  </si>
  <si>
    <t>Swine</t>
  </si>
  <si>
    <t>Bovine</t>
  </si>
  <si>
    <t>Poultry</t>
  </si>
  <si>
    <t>Equine</t>
  </si>
  <si>
    <t xml:space="preserve">Height of compost material: </t>
  </si>
  <si>
    <t xml:space="preserve">Windrow width: </t>
  </si>
  <si>
    <t>Windrows</t>
  </si>
  <si>
    <t>Hidden bin calculations</t>
  </si>
  <si>
    <t>Design Parameters</t>
  </si>
  <si>
    <t xml:space="preserve">  &lt;= input a density &gt; 15 and see what happens</t>
  </si>
  <si>
    <t>Processor by-product</t>
  </si>
  <si>
    <t xml:space="preserve">Type of producer: </t>
  </si>
  <si>
    <t xml:space="preserve">Type of composting facility: </t>
  </si>
  <si>
    <t>Producer type down down menu</t>
  </si>
  <si>
    <t>Facility type drop down menu</t>
  </si>
  <si>
    <t>Display all types of facilities</t>
  </si>
  <si>
    <t>Overlapping piles</t>
  </si>
  <si>
    <t>Bins</t>
  </si>
  <si>
    <t>Piles</t>
  </si>
  <si>
    <t xml:space="preserve"> ------&gt; THESE COLUMNS WILL BE HIDDEN IN FINAL VERSIONS  --------------------------------&gt;</t>
  </si>
  <si>
    <t xml:space="preserve">Total farm mortality: </t>
  </si>
  <si>
    <t>None</t>
  </si>
  <si>
    <t xml:space="preserve">     Select type of composting system:</t>
  </si>
  <si>
    <t xml:space="preserve">Second type of producer: </t>
  </si>
  <si>
    <t xml:space="preserve">Thirde type of producer: </t>
  </si>
  <si>
    <t>Composting System Plan Using Windrows</t>
  </si>
  <si>
    <t>1.  Overview</t>
  </si>
  <si>
    <t>2.  System Requirements</t>
  </si>
  <si>
    <t>3.  Planning a Compost System</t>
  </si>
  <si>
    <t>The Excel workbook contains the following two worksheets:</t>
  </si>
  <si>
    <r>
      <t>Instructions</t>
    </r>
    <r>
      <rPr>
        <sz val="12"/>
        <rFont val="Arial"/>
        <family val="2"/>
      </rPr>
      <t>.  This sheet contains instructions for using the System Planner worksheet.</t>
    </r>
  </si>
  <si>
    <r>
      <t>Name and address</t>
    </r>
    <r>
      <rPr>
        <sz val="12"/>
        <rFont val="Arial"/>
        <family val="2"/>
      </rPr>
      <t>: Enter the enterprise name and address information for this plan.</t>
    </r>
  </si>
  <si>
    <t>b.  Animal Production Information</t>
  </si>
  <si>
    <t>a.  Introductory Steps</t>
  </si>
  <si>
    <r>
      <t>Equipment working space or apron width</t>
    </r>
    <r>
      <rPr>
        <sz val="12"/>
        <rFont val="Arial"/>
        <family val="2"/>
      </rPr>
      <t>: This is the area around batches needed for formation and mixing using a bucket loader. It is sometimes called an apron. Enter the linear distance from the edge of the compost material (where is meets the inside border of the apron) to outside border of apron. This space depends on size of tractor and loader.</t>
    </r>
  </si>
  <si>
    <t xml:space="preserve">Date: </t>
  </si>
  <si>
    <t>System Planner Sheet</t>
  </si>
  <si>
    <t>Emergency Planner Sheet</t>
  </si>
  <si>
    <t xml:space="preserve">Average weight of animals (lb): </t>
  </si>
  <si>
    <t xml:space="preserve">Calculated mortality (lb): </t>
  </si>
  <si>
    <t xml:space="preserve"> lb</t>
  </si>
  <si>
    <t>site 1</t>
  </si>
  <si>
    <t>site 2</t>
  </si>
  <si>
    <t>site 3</t>
  </si>
  <si>
    <t>site 4</t>
  </si>
  <si>
    <t>Sows &amp; Litters</t>
  </si>
  <si>
    <t xml:space="preserve">Material depth: </t>
  </si>
  <si>
    <t xml:space="preserve">Equipment working space (width): </t>
  </si>
  <si>
    <t xml:space="preserve"> lbs</t>
  </si>
  <si>
    <t xml:space="preserve">Effective volume of 1 windrow = </t>
  </si>
  <si>
    <t>carcass volume</t>
  </si>
  <si>
    <t xml:space="preserve">Number of carcasses: </t>
  </si>
  <si>
    <t xml:space="preserve">bin capacity used = </t>
  </si>
  <si>
    <t>farm mortality</t>
  </si>
  <si>
    <t xml:space="preserve">calc'd number of windrows needed = </t>
  </si>
  <si>
    <t>Hidden windrow calculations</t>
  </si>
  <si>
    <t xml:space="preserve">Effective volume of bin = </t>
  </si>
  <si>
    <t>Total construction: volume of bin system</t>
  </si>
  <si>
    <t>Total area of floor:</t>
  </si>
  <si>
    <t>Apron area needed to form and turn windrows:</t>
  </si>
  <si>
    <t>Area of pad including working space:</t>
  </si>
  <si>
    <t xml:space="preserve"> lb/yard</t>
  </si>
  <si>
    <t xml:space="preserve">bovine carcass weight = </t>
  </si>
  <si>
    <t xml:space="preserve">Poultry carcass weight = </t>
  </si>
  <si>
    <t xml:space="preserve">Animal density = </t>
  </si>
  <si>
    <t xml:space="preserve">Animal volume = </t>
  </si>
  <si>
    <t xml:space="preserve">Equine carcass weight = </t>
  </si>
  <si>
    <t xml:space="preserve">Swine carcass weight = </t>
  </si>
  <si>
    <t xml:space="preserve">Total swine mortality: </t>
  </si>
  <si>
    <t>Exact number of windrows needed:</t>
  </si>
  <si>
    <t>Juveniles</t>
  </si>
  <si>
    <t>swine motality checkbox</t>
  </si>
  <si>
    <t>bovine mortality checkbox</t>
  </si>
  <si>
    <t>poultry mortality checkbox</t>
  </si>
  <si>
    <t>equine mortality checkbox</t>
  </si>
  <si>
    <t>small ruminant mortality checkbox</t>
  </si>
  <si>
    <t>Description</t>
  </si>
  <si>
    <t>Value</t>
  </si>
  <si>
    <t>Swine produccer:</t>
  </si>
  <si>
    <r>
      <t>yd</t>
    </r>
    <r>
      <rPr>
        <vertAlign val="superscript"/>
        <sz val="10"/>
        <rFont val="Arial"/>
        <family val="2"/>
      </rPr>
      <t>3</t>
    </r>
  </si>
  <si>
    <t>Bovine producer:</t>
  </si>
  <si>
    <t>Poultry producer:</t>
  </si>
  <si>
    <t>Equine producer;</t>
  </si>
  <si>
    <t>Small ruminant producer:</t>
  </si>
  <si>
    <t xml:space="preserve">Small ruminant carcass weight = </t>
  </si>
  <si>
    <t>Total weight of mortality:</t>
  </si>
  <si>
    <t>Evaluating Potential Sites for Windrows</t>
  </si>
  <si>
    <r>
      <t xml:space="preserve"> yd</t>
    </r>
    <r>
      <rPr>
        <vertAlign val="superscript"/>
        <sz val="10"/>
        <rFont val="Arial"/>
        <family val="2"/>
      </rPr>
      <t>3</t>
    </r>
  </si>
  <si>
    <t>%</t>
  </si>
  <si>
    <t xml:space="preserve">available length: </t>
  </si>
  <si>
    <t xml:space="preserve">available width: </t>
  </si>
  <si>
    <r>
      <t>ft</t>
    </r>
    <r>
      <rPr>
        <vertAlign val="superscript"/>
        <sz val="10"/>
        <rFont val="Arial"/>
        <family val="2"/>
      </rPr>
      <t>3</t>
    </r>
    <r>
      <rPr>
        <sz val="10"/>
        <rFont val="Arial"/>
        <family val="2"/>
      </rPr>
      <t xml:space="preserve"> / yard: </t>
    </r>
  </si>
  <si>
    <t xml:space="preserve">Total compost volume: </t>
  </si>
  <si>
    <t xml:space="preserve">Total carcass volume: </t>
  </si>
  <si>
    <t xml:space="preserve">Total amendment volume: </t>
  </si>
  <si>
    <t xml:space="preserve"> %</t>
  </si>
  <si>
    <t>Still need to write documentation.  Rk</t>
  </si>
  <si>
    <r>
      <t>Emergency Planner</t>
    </r>
    <r>
      <rPr>
        <sz val="12"/>
        <rFont val="Arial"/>
        <family val="2"/>
      </rPr>
      <t>.  Use this sheet to determine the material flow and size of a static piling compost system or operation.  You will determine animal tissue accumulation rate (amount per time) and then plan how to accomplish the composting of that amount of tissue (flow as batches) through a compost system of a size which you select for your situation.</t>
    </r>
  </si>
  <si>
    <r>
      <t>Select producer type</t>
    </r>
    <r>
      <rPr>
        <sz val="12"/>
        <rFont val="Arial"/>
        <family val="2"/>
      </rPr>
      <t>: Using the checkboxes select one or more different animal production enterprises. A table for that specie will appear below to be used to estimate the amount of animal tissue. If more than one animal production enterprise is selected, the amount of animal tissue will be a sum of all enterprises.</t>
    </r>
  </si>
  <si>
    <r>
      <t>Printing</t>
    </r>
    <r>
      <rPr>
        <sz val="12"/>
        <rFont val="Arial"/>
        <family val="2"/>
      </rPr>
      <t>:  Spartan ATC Emergency Planner prints out plans as one page in portrait orientation.</t>
    </r>
  </si>
  <si>
    <t>Composting System Plan Using a Bin</t>
  </si>
  <si>
    <t>All caution output if winrow width*0.67 &lt; winrow height</t>
  </si>
  <si>
    <t xml:space="preserve">Number of windrows, rounded up = </t>
  </si>
  <si>
    <t xml:space="preserve">Effective volume, all complete windrows = </t>
  </si>
  <si>
    <t>Site 1</t>
  </si>
  <si>
    <t>Site 2</t>
  </si>
  <si>
    <t>Site 3</t>
  </si>
  <si>
    <t>Site 4</t>
  </si>
  <si>
    <t>Windrow length:</t>
  </si>
  <si>
    <t>Number of windrows available at site:</t>
  </si>
  <si>
    <t xml:space="preserve">length of 1 windrow = </t>
  </si>
  <si>
    <t xml:space="preserve">length = </t>
  </si>
  <si>
    <t xml:space="preserve">width = </t>
  </si>
  <si>
    <t>area =</t>
  </si>
  <si>
    <t>acres =</t>
  </si>
  <si>
    <t>Spartan Animal Tissue Compost (ATC) Emergency Planner is an Excel application that assists in designing a composting system using static piling approaches, including facility type, facility size and material projections. The spreadsheet has been designed for composting animal tissue as whole carcasses.</t>
  </si>
  <si>
    <t>Spartan ATC Emergency Planner assists with planning and sizing of a single event composting system.  First, the program provides an estimate of amount of the expected amount of animal tissue using enterprise size, mortality rates specific to phases of animal production, and average carcass weights. More than one type of animal production enterprise can be entered into the planner. Second, Spartan ATC Emergency Planner assists with the sizing of a composting system to accommodate the estimated volume or pounds of mortality.  System foot print dimensions can be entered using the available space.  Up to four (4) different potential windrow sites can be entered and compared relative to is ability to contain a windrow composting system intended to redue a fixed volume or weight of animal carcasses.</t>
  </si>
  <si>
    <t>The Spartan ATC Emergency Planner delivers answers to several general questions, including:</t>
  </si>
  <si>
    <r>
      <t xml:space="preserve"> </t>
    </r>
    <r>
      <rPr>
        <sz val="12"/>
        <rFont val="Calibri"/>
        <family val="2"/>
      </rPr>
      <t>•</t>
    </r>
    <r>
      <rPr>
        <sz val="12"/>
        <rFont val="Arial"/>
        <family val="2"/>
      </rPr>
      <t xml:space="preserve"> Estimation of area required to compost a specific weight or number of mortalities (based on species and weights of animals, width and height of windrows or bin foot print, animal tissue density in the pile and equipment working space).</t>
    </r>
  </si>
  <si>
    <t xml:space="preserve"> • Determine the percentage of a defined space which will be required to compost a specific weight or number of mortalities (based on species and weights of animals, width and height of windrows or bin foot print, animal tissue density in the pile and equipment working space).</t>
  </si>
  <si>
    <t xml:space="preserve"> • Determine the number and length of windrows required to compost a specific weight or number of mortalities  (based on species and weights of animals, width and height of windrows or bin foot print, animal tissue density in the pile and equipment working space).</t>
  </si>
  <si>
    <t xml:space="preserve"> • Determine the amount of bulking agent mixture needed to compost the specific weight or number of mortalities.</t>
  </si>
  <si>
    <t>Input variables.</t>
  </si>
  <si>
    <t xml:space="preserve"> • Throughout the spreadsheet the green shaded cells signal locations for entering data into the spreadsheet (though in many cases default information representing best management practices in provided).</t>
  </si>
  <si>
    <t xml:space="preserve"> • Data that can be entered when using bins: bin length, bin width, height of compost pile in the bin.</t>
  </si>
  <si>
    <t xml:space="preserve"> • Data can be entered when using windrows inlcudes: animal tissue density in the pile, height of the pile/windorw, width of windrow, length and width of up to four (4) potential composting sites, and desired equipment working space width.</t>
  </si>
  <si>
    <t>Output.</t>
  </si>
  <si>
    <t xml:space="preserve"> • Number of carcasses &amp; calculated pounds (lbs) of mortality by production phase/age group.</t>
  </si>
  <si>
    <t xml:space="preserve"> • Total calculated pounds (lbs) of mortality by species.</t>
  </si>
  <si>
    <r>
      <t xml:space="preserve">     </t>
    </r>
    <r>
      <rPr>
        <sz val="12"/>
        <rFont val="Calibri"/>
        <family val="2"/>
      </rPr>
      <t>◦</t>
    </r>
    <r>
      <rPr>
        <sz val="12"/>
        <rFont val="Arial"/>
        <family val="2"/>
      </rPr>
      <t xml:space="preserve"> Total weight of mortalities (across species on the farm)</t>
    </r>
  </si>
  <si>
    <t xml:space="preserve">     ◦ Total volume needed for composting</t>
  </si>
  <si>
    <t xml:space="preserve">     ◦ Total construction volume of the bin</t>
  </si>
  <si>
    <t xml:space="preserve">     ◦ Effective volume of the bin (three sided bin)</t>
  </si>
  <si>
    <t xml:space="preserve">     ◦ Total floor area of the bin</t>
  </si>
  <si>
    <t xml:space="preserve">     ◦ Bin capacity used, amount of amendment required.</t>
  </si>
  <si>
    <r>
      <t xml:space="preserve">     </t>
    </r>
    <r>
      <rPr>
        <sz val="12"/>
        <rFont val="Calibri"/>
        <family val="2"/>
      </rPr>
      <t>◦</t>
    </r>
    <r>
      <rPr>
        <sz val="12"/>
        <rFont val="Arial"/>
        <family val="2"/>
      </rPr>
      <t xml:space="preserve"> Total weight of mortalities (across the farm)</t>
    </r>
  </si>
  <si>
    <t xml:space="preserve">     ◦ Windrow vol.ume needed for current mortalities</t>
  </si>
  <si>
    <t xml:space="preserve">     ◦ Amount of amendment needed for current mortalities</t>
  </si>
  <si>
    <t xml:space="preserve"> • For the window composting system the following is reported for each of up to four (4) possible composting sites:</t>
  </si>
  <si>
    <t xml:space="preserve"> • For the window composting system:</t>
  </si>
  <si>
    <t xml:space="preserve"> • For the bin composting system:</t>
  </si>
  <si>
    <t xml:space="preserve">     ◦ Number of complete windrows available on the pad</t>
  </si>
  <si>
    <t xml:space="preserve">     ◦ Exact number of windrows needed</t>
  </si>
  <si>
    <t xml:space="preserve">     ◦ Total effective volume of all complete windrows</t>
  </si>
  <si>
    <t xml:space="preserve">     ◦ Apron area needed to form and turn windrows</t>
  </si>
  <si>
    <t xml:space="preserve">     ◦ Area of pad including working space</t>
  </si>
  <si>
    <t xml:space="preserve">     ◦ Maximum windrow length</t>
  </si>
  <si>
    <t xml:space="preserve">     ◦ Available area including apron</t>
  </si>
  <si>
    <t xml:space="preserve">     ◦ Percent of needed capacity</t>
  </si>
  <si>
    <t xml:space="preserve">     ◦ Number of windrows available on the composting site</t>
  </si>
  <si>
    <t xml:space="preserve">     ◦ Number of windrows short</t>
  </si>
  <si>
    <t xml:space="preserve">In the first 12 rows of the Emergency Planner worksheet enter the following general information about the farm or event:  </t>
  </si>
  <si>
    <r>
      <t>Target animal tissue density</t>
    </r>
    <r>
      <rPr>
        <sz val="12"/>
        <rFont val="Arial"/>
        <family val="2"/>
      </rPr>
      <t>:  Also known as "volume factor" or "volume coefficient" or the "bulking agent to mortality ratio". This is the most important factor in determining composting volume. This density has been determined through experimentation.  Animal tissue composting has been successfully accomplished using densities varying from 0.05 to 15 lb/ft</t>
    </r>
    <r>
      <rPr>
        <vertAlign val="superscript"/>
        <sz val="12"/>
        <rFont val="Arial"/>
        <family val="2"/>
      </rPr>
      <t>3</t>
    </r>
    <r>
      <rPr>
        <sz val="12"/>
        <rFont val="Arial"/>
        <family val="2"/>
      </rPr>
      <t>.  However, when animal tissue density is greater than 10 lb/ft</t>
    </r>
    <r>
      <rPr>
        <vertAlign val="superscript"/>
        <sz val="12"/>
        <rFont val="Arial"/>
        <family val="2"/>
      </rPr>
      <t>3</t>
    </r>
    <r>
      <rPr>
        <sz val="12"/>
        <rFont val="Arial"/>
        <family val="2"/>
      </rPr>
      <t>, intensive management of aeration and moisture is necessary. The Spartan Compost Emergency Planner default is 5 lb/ft</t>
    </r>
    <r>
      <rPr>
        <vertAlign val="superscript"/>
        <sz val="12"/>
        <rFont val="Arial"/>
        <family val="2"/>
      </rPr>
      <t>3</t>
    </r>
    <r>
      <rPr>
        <sz val="12"/>
        <rFont val="Arial"/>
        <family val="2"/>
      </rPr>
      <t xml:space="preserve"> in order to maximize composting system operations in all conditions.  The impact resulting from the input of other animal tissue density values should be carefully considered before committing to such a change. </t>
    </r>
  </si>
  <si>
    <t>In the next portion of the Emergency Planner worksheet green shaded cells are provided you enter production information for estimating animal tissue accumulation.  More than one animal species can be included in the tissue accumulation calculations of a single worksheet.  For specific help with understanding what information is being requested, a comment will appear when the cursor hovers over the name of the item for which a number is being requested.</t>
  </si>
  <si>
    <t>c.  Composting Systems Plan (Bins or Windrows)</t>
  </si>
  <si>
    <t>The next portion of the Emergency Planner provides green shaded cells for entering:</t>
  </si>
  <si>
    <t>2. The dimensions of the composting structure.</t>
  </si>
  <si>
    <t>1. The types of composting system to be used (bins or windrows or both).</t>
  </si>
  <si>
    <r>
      <rPr>
        <sz val="12"/>
        <rFont val="Arial"/>
        <family val="2"/>
      </rPr>
      <t xml:space="preserve">a. Bin:  </t>
    </r>
    <r>
      <rPr>
        <i/>
        <sz val="12"/>
        <rFont val="Arial"/>
        <family val="2"/>
      </rPr>
      <t>Length, width, and height</t>
    </r>
    <r>
      <rPr>
        <sz val="12"/>
        <rFont val="Arial"/>
        <family val="2"/>
      </rPr>
      <t>: Each dimension is described in a comment that will appear when the cursor is placed over the name of the measure, or the windrow and working space dimensions.</t>
    </r>
  </si>
  <si>
    <r>
      <t xml:space="preserve">b. Windrow: </t>
    </r>
    <r>
      <rPr>
        <i/>
        <sz val="12"/>
        <rFont val="Arial"/>
        <family val="2"/>
      </rPr>
      <t>Windrow width, windrow height or equipment working space</t>
    </r>
    <r>
      <rPr>
        <sz val="12"/>
        <rFont val="Arial"/>
        <family val="2"/>
      </rPr>
      <t xml:space="preserve"> (apron width).  Each dimension is described in a comment that will appear when the cursor is placed over the name of the measure or the windrow and working space conditions.</t>
    </r>
  </si>
  <si>
    <r>
      <t xml:space="preserve">c. Windrow Composting Sites: When evaluating or using windrow composting, the worksheet will require the input of the overall dimensions of at least one (1) and up to a total of four (4) potential composting sites when comparing sites.  The dimensions are listed as </t>
    </r>
    <r>
      <rPr>
        <i/>
        <sz val="12"/>
        <rFont val="Arial"/>
        <family val="2"/>
      </rPr>
      <t>Length</t>
    </r>
    <r>
      <rPr>
        <sz val="12"/>
        <rFont val="Arial"/>
        <family val="2"/>
      </rPr>
      <t xml:space="preserve"> and </t>
    </r>
    <r>
      <rPr>
        <i/>
        <sz val="12"/>
        <rFont val="Arial"/>
        <family val="2"/>
      </rPr>
      <t>Width.</t>
    </r>
    <r>
      <rPr>
        <sz val="12"/>
        <rFont val="Arial"/>
        <family val="2"/>
      </rPr>
      <t xml:space="preserve">  Where one dimension is greater than the other, the longer dimension should be entered in to </t>
    </r>
    <r>
      <rPr>
        <i/>
        <sz val="12"/>
        <rFont val="Arial"/>
        <family val="2"/>
      </rPr>
      <t>Length</t>
    </r>
    <r>
      <rPr>
        <sz val="12"/>
        <rFont val="Arial"/>
        <family val="2"/>
      </rPr>
      <t xml:space="preserve"> input cell for that site.</t>
    </r>
  </si>
  <si>
    <t>Notes and definitions:</t>
  </si>
  <si>
    <r>
      <t>Duration of active composting in bin</t>
    </r>
    <r>
      <rPr>
        <sz val="12"/>
        <rFont val="Arial"/>
        <family val="2"/>
      </rPr>
      <t>: In well-managed active composting, the decomposition of all soft tissues should take 1 to 2 months.  Bones will not decompose in this time.  Time required to decompoase tissues is dependent on the maturity of the animals.  Mature swine hides will persist 1 to 2 months longer than this; longer than those of mature bovine or equine, and all other soft tissues.</t>
    </r>
  </si>
  <si>
    <t>d.  Composting Systems Results Reporting</t>
  </si>
  <si>
    <t>Swine Mortality Information</t>
  </si>
  <si>
    <t>Bovine Mortality Information</t>
  </si>
  <si>
    <t>Poultry Mortality Information</t>
  </si>
  <si>
    <t>Equine Mortality Information</t>
  </si>
  <si>
    <t>Small Ruminant Mortality Information</t>
  </si>
  <si>
    <r>
      <t xml:space="preserve">1.  Bin System: The Spartan ATC Emergency Planner worksheet will provide calculated information for: </t>
    </r>
    <r>
      <rPr>
        <i/>
        <sz val="12"/>
        <rFont val="Arial"/>
        <family val="2"/>
      </rPr>
      <t>Volume needed for current mortality, Effective volume of bin, Bin capacity used, Amount of amendment needed, Total construction: volume of bin system, Total area of floor</t>
    </r>
    <r>
      <rPr>
        <sz val="12"/>
        <rFont val="Arial"/>
        <family val="2"/>
      </rPr>
      <t>.  If Bin capacity exceeds 100%, the bin is insufficient in size to contain the entire mortality available.  Other mortality disposal methods will be required for any excess.</t>
    </r>
  </si>
  <si>
    <r>
      <t xml:space="preserve">2. Windrow System: The Spartan ATC Emergency Planner worksheet will provide calculated information for each site that has information entered into it: </t>
    </r>
    <r>
      <rPr>
        <i/>
        <sz val="12"/>
        <rFont val="Arial"/>
        <family val="2"/>
      </rPr>
      <t>Total weight of mortality, Volume needed for current mortality, Number of complete windowrows available on pad, Total effective volume of all complete windrows, Amount of amendment neded, Exact number of windrows needed, Apron area needed to form and turn windrows, Area of pad including working space, Length of pad including working space, Width of pad including working space, Max windrow length, Available area including apron, percent of needed capacity, Number of windrows available in this space, Number of windrows short</t>
    </r>
    <r>
      <rPr>
        <sz val="12"/>
        <rFont val="Arial"/>
        <family val="2"/>
      </rPr>
      <t>.</t>
    </r>
  </si>
  <si>
    <t>There are two general composting systems or methods which might be used for large single event composting of animal tissue in static piles: piled in bins (i.e. bunker silos or other configurations using walls to support and contain the composting materials) and windrows.  Static means that animal tissue and compost materials are mixed and left to stand motionless or idle for a planned period of time.</t>
  </si>
  <si>
    <r>
      <rPr>
        <b/>
        <sz val="12"/>
        <rFont val="Arial"/>
        <family val="2"/>
      </rPr>
      <t>Excel 2003.</t>
    </r>
    <r>
      <rPr>
        <sz val="12"/>
        <rFont val="Arial"/>
        <family val="2"/>
      </rPr>
      <t xml:space="preserve">  Due to changes in how Excel handles macros, there are separate versions of this application for Excel 2003 and for Excel 2007-2010.  You must have Microsoft Excel 2003 or later to run Spartan ATC Emergency Planner.  The spreadsheet contains macros, so MS Excel's security must be set to moderate or low to allow the macros to function.  To change the security setting select Tools &gt; Macro &gt; Security from Excel's main menu and set security to moderate or low.  Since macros are only loaded when a file is first opened, you need to close and reopen a file after changing Excel's macro security settings.  Depending on your security setting, Excel may ask you whether to enable or disable macros when you open the file.  Macros must be enabled for the application to work correctly. 
</t>
    </r>
  </si>
  <si>
    <r>
      <rPr>
        <i/>
        <sz val="12"/>
        <rFont val="Arial"/>
        <family val="2"/>
      </rPr>
      <t>Select type of composting system</t>
    </r>
    <r>
      <rPr>
        <sz val="12"/>
        <rFont val="Arial"/>
        <family val="2"/>
      </rPr>
      <t>:  Using the drop-down list, select either the bin or windorw system type that will be used; or select both types for comparison.  The worksheet may be switched from one system to another at any time.  Alternatively, all systems may be evaluated at one time. The advantages and disadvantages of each system are described in the Michigan Animal Tissue Compost Operational Standard available at the following URL:</t>
    </r>
  </si>
  <si>
    <t>Spartan ATC Emergency Planner was developed by Dr. Dale Rozeboom (Department of Animal Science, Michigan State University), Dr. Howard Person (formerly Department of Agricultural Engineering Michigan State University and currently Manure and Organic Residual Management Consultant, Agri-Business Consultants, Dimondale, Michigan), Suzanne Reamer (Michigan Natural Resource Conservation Service), Dean Ross (Agrosecurity Consulting, Bath, Michigan) and Robert Kriegel (ANR Technology Services, Michigan State University).</t>
  </si>
  <si>
    <t>Select specie(s) of mortality:</t>
  </si>
  <si>
    <t>Mortality to Amendment Relationships</t>
  </si>
  <si>
    <r>
      <rPr>
        <b/>
        <sz val="12"/>
        <rFont val="Arial"/>
        <family val="2"/>
      </rPr>
      <t>Excel 2007 and later</t>
    </r>
    <r>
      <rPr>
        <sz val="12"/>
        <rFont val="Arial"/>
        <family val="2"/>
      </rPr>
      <t xml:space="preserve">. Due to changes in how Excel handles macros, there are separate versions of this application for Excel 2003 and for Excel 2007-2010.  You must have Microsoft Excel 2007 or later to run this version of Spartan ATC Emergency Planner. The spreadsheet contains macros, so MS Excel's security must be set to moderate or low to allow the macros to function.  To change the security setting select the Developer tab on Excel's main menu, then select 'Macro Security' from the toolbar and Tools &gt; Macro &gt; Security from Excel's main menu and set security to enable macros.  Depending on your security setting, Excel may ask you whether to enable or disable macros when you open the file.  Macros must be enabled for the application to work operate correctly.  </t>
    </r>
  </si>
  <si>
    <t xml:space="preserve">Compost volume needed for total mortality: </t>
  </si>
  <si>
    <t xml:space="preserve">Amount of compost amendment(s) needed: </t>
  </si>
  <si>
    <t>Percent of mortality that could be composted at site:</t>
  </si>
  <si>
    <t>Projected width of pad including working space:</t>
  </si>
  <si>
    <t>https://www.msu.edu/~rozeboom/</t>
  </si>
  <si>
    <t>For inquiries about this application contact rozeboom@msu.edu.</t>
  </si>
  <si>
    <t xml:space="preserve"> • Information concering: species, production phase/age group, and average weight within production phase/age group.</t>
  </si>
  <si>
    <t>Number of windrows short:</t>
  </si>
  <si>
    <t>Total efffective volume of all complete winrows:</t>
  </si>
  <si>
    <t>Available area including apron:</t>
  </si>
  <si>
    <t>Effective volume of bin:</t>
  </si>
  <si>
    <t>Bin capacity used:</t>
  </si>
  <si>
    <t>Spartan Emergency ATC Planner Worksheet</t>
  </si>
  <si>
    <t>Instructions for Spartan Emergency Animal Tissue Composting (ATC) Planner</t>
  </si>
  <si>
    <t>v1.01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</si>
</sst>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m/d/yyyy;@"/>
  </numFmts>
  <fonts count="58">
    <font>
      <sz val="10"/>
      <name val="Arial"/>
      <family val="0"/>
    </font>
    <font>
      <sz val="11"/>
      <color indexed="8"/>
      <name val="Calibri"/>
      <family val="2"/>
    </font>
    <font>
      <sz val="8"/>
      <name val="Arial"/>
      <family val="2"/>
    </font>
    <font>
      <sz val="8"/>
      <name val="Tahoma"/>
      <family val="2"/>
    </font>
    <font>
      <sz val="14"/>
      <name val="Arial"/>
      <family val="2"/>
    </font>
    <font>
      <vertAlign val="superscript"/>
      <sz val="10"/>
      <name val="Arial"/>
      <family val="2"/>
    </font>
    <font>
      <u val="single"/>
      <sz val="10"/>
      <color indexed="12"/>
      <name val="Arial"/>
      <family val="2"/>
    </font>
    <font>
      <vertAlign val="superscript"/>
      <sz val="8"/>
      <name val="Tahoma"/>
      <family val="2"/>
    </font>
    <font>
      <b/>
      <sz val="10"/>
      <name val="Arial"/>
      <family val="2"/>
    </font>
    <font>
      <b/>
      <sz val="14"/>
      <name val="Arial"/>
      <family val="2"/>
    </font>
    <font>
      <b/>
      <sz val="12"/>
      <color indexed="17"/>
      <name val="Arial"/>
      <family val="2"/>
    </font>
    <font>
      <sz val="10"/>
      <color indexed="10"/>
      <name val="Arial"/>
      <family val="2"/>
    </font>
    <font>
      <b/>
      <sz val="10"/>
      <color indexed="10"/>
      <name val="Arial"/>
      <family val="2"/>
    </font>
    <font>
      <b/>
      <sz val="10"/>
      <color indexed="14"/>
      <name val="Arial"/>
      <family val="2"/>
    </font>
    <font>
      <b/>
      <sz val="18"/>
      <color indexed="17"/>
      <name val="Times New Roman"/>
      <family val="1"/>
    </font>
    <font>
      <sz val="12"/>
      <name val="Arial"/>
      <family val="2"/>
    </font>
    <font>
      <sz val="9"/>
      <name val="Tahoma"/>
      <family val="2"/>
    </font>
    <font>
      <b/>
      <sz val="12"/>
      <name val="Arial"/>
      <family val="2"/>
    </font>
    <font>
      <u val="single"/>
      <sz val="12"/>
      <name val="Arial"/>
      <family val="2"/>
    </font>
    <font>
      <i/>
      <sz val="12"/>
      <name val="Arial"/>
      <family val="2"/>
    </font>
    <font>
      <vertAlign val="superscript"/>
      <sz val="12"/>
      <name val="Arial"/>
      <family val="2"/>
    </font>
    <font>
      <u val="single"/>
      <sz val="14"/>
      <color indexed="12"/>
      <name val="Arial"/>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right style="thin"/>
      <top/>
      <bottom/>
    </border>
    <border>
      <left style="medium"/>
      <right/>
      <top/>
      <bottom/>
    </border>
    <border>
      <left style="medium"/>
      <right/>
      <top/>
      <bottom style="medium"/>
    </border>
    <border>
      <left/>
      <right/>
      <top/>
      <bottom style="medium"/>
    </border>
    <border>
      <left style="thin"/>
      <right/>
      <top/>
      <bottom style="thin"/>
    </border>
    <border>
      <left/>
      <right/>
      <top/>
      <bottom style="thin"/>
    </border>
    <border>
      <left/>
      <right style="thin"/>
      <top/>
      <bottom style="thin"/>
    </border>
    <border>
      <left/>
      <right/>
      <top style="medium"/>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0">
    <xf numFmtId="0" fontId="0" fillId="0" borderId="0" xfId="0" applyAlignment="1">
      <alignment/>
    </xf>
    <xf numFmtId="0" fontId="8" fillId="0" borderId="0" xfId="0" applyFon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8" fillId="0" borderId="0" xfId="0" applyFont="1" applyAlignment="1">
      <alignment horizontal="center"/>
    </xf>
    <xf numFmtId="3" fontId="0" fillId="0" borderId="10" xfId="42" applyNumberFormat="1" applyFont="1" applyBorder="1" applyAlignment="1" applyProtection="1">
      <alignment horizontal="right"/>
      <protection hidden="1"/>
    </xf>
    <xf numFmtId="3" fontId="0" fillId="0" borderId="11" xfId="42" applyNumberFormat="1" applyFont="1" applyBorder="1" applyAlignment="1" applyProtection="1">
      <alignment horizontal="right"/>
      <protection hidden="1"/>
    </xf>
    <xf numFmtId="3" fontId="0" fillId="0" borderId="12" xfId="42" applyNumberFormat="1" applyFont="1" applyBorder="1" applyAlignment="1" applyProtection="1">
      <alignment horizontal="right"/>
      <protection hidden="1"/>
    </xf>
    <xf numFmtId="0" fontId="0" fillId="0" borderId="0" xfId="0" applyAlignment="1" applyProtection="1">
      <alignment/>
      <protection locked="0"/>
    </xf>
    <xf numFmtId="0" fontId="0" fillId="0" borderId="0" xfId="0" applyFont="1" applyAlignment="1" applyProtection="1">
      <alignment/>
      <protection locked="0"/>
    </xf>
    <xf numFmtId="0" fontId="15" fillId="0" borderId="0" xfId="0" applyFont="1" applyAlignment="1" applyProtection="1">
      <alignment vertical="top" wrapText="1"/>
      <protection locked="0"/>
    </xf>
    <xf numFmtId="0" fontId="15"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15" fillId="0" borderId="0" xfId="0" applyFont="1" applyAlignment="1" applyProtection="1">
      <alignment horizontal="left" vertical="top" wrapText="1"/>
      <protection locked="0"/>
    </xf>
    <xf numFmtId="0" fontId="18" fillId="0" borderId="0" xfId="0" applyFont="1" applyAlignment="1" applyProtection="1">
      <alignment vertical="top" wrapText="1"/>
      <protection locked="0"/>
    </xf>
    <xf numFmtId="0" fontId="0" fillId="0" borderId="0" xfId="0" applyAlignment="1" applyProtection="1">
      <alignment wrapText="1"/>
      <protection locked="0"/>
    </xf>
    <xf numFmtId="0" fontId="15" fillId="0" borderId="0" xfId="0" applyFont="1" applyAlignment="1" applyProtection="1">
      <alignment/>
      <protection locked="0"/>
    </xf>
    <xf numFmtId="0" fontId="0" fillId="33" borderId="13" xfId="0" applyFill="1" applyBorder="1" applyAlignment="1" applyProtection="1">
      <alignment horizontal="right" indent="1"/>
      <protection locked="0"/>
    </xf>
    <xf numFmtId="3" fontId="0" fillId="33" borderId="13" xfId="0" applyNumberFormat="1" applyFill="1" applyBorder="1" applyAlignment="1" applyProtection="1">
      <alignment horizontal="right"/>
      <protection locked="0"/>
    </xf>
    <xf numFmtId="3" fontId="0" fillId="33" borderId="14" xfId="0" applyNumberFormat="1" applyFill="1" applyBorder="1" applyAlignment="1" applyProtection="1">
      <alignment horizontal="right"/>
      <protection locked="0"/>
    </xf>
    <xf numFmtId="3" fontId="0" fillId="34" borderId="13" xfId="0" applyNumberFormat="1" applyFill="1" applyBorder="1" applyAlignment="1" applyProtection="1">
      <alignment horizontal="right"/>
      <protection locked="0"/>
    </xf>
    <xf numFmtId="3" fontId="0" fillId="34" borderId="13" xfId="42" applyNumberFormat="1" applyFont="1" applyFill="1" applyBorder="1" applyAlignment="1" applyProtection="1">
      <alignment horizontal="right"/>
      <protection locked="0"/>
    </xf>
    <xf numFmtId="3" fontId="0" fillId="34" borderId="14" xfId="42" applyNumberFormat="1" applyFont="1" applyFill="1" applyBorder="1" applyAlignment="1" applyProtection="1">
      <alignment horizontal="right"/>
      <protection locked="0"/>
    </xf>
    <xf numFmtId="1" fontId="0" fillId="33" borderId="13" xfId="0" applyNumberFormat="1" applyFill="1" applyBorder="1" applyAlignment="1" applyProtection="1">
      <alignment horizontal="right"/>
      <protection locked="0"/>
    </xf>
    <xf numFmtId="1" fontId="0" fillId="33" borderId="14" xfId="0" applyNumberFormat="1" applyFill="1" applyBorder="1" applyAlignment="1" applyProtection="1">
      <alignment horizontal="right"/>
      <protection locked="0"/>
    </xf>
    <xf numFmtId="3" fontId="0" fillId="34" borderId="14" xfId="0" applyNumberFormat="1" applyFill="1" applyBorder="1" applyAlignment="1" applyProtection="1">
      <alignment horizontal="right"/>
      <protection locked="0"/>
    </xf>
    <xf numFmtId="1" fontId="0" fillId="33" borderId="13" xfId="0" applyNumberFormat="1" applyFill="1" applyBorder="1" applyAlignment="1" applyProtection="1">
      <alignment horizontal="right" indent="1"/>
      <protection locked="0"/>
    </xf>
    <xf numFmtId="1" fontId="0" fillId="34" borderId="13" xfId="0" applyNumberFormat="1" applyFill="1" applyBorder="1" applyAlignment="1" applyProtection="1">
      <alignment horizontal="right" indent="1"/>
      <protection locked="0"/>
    </xf>
    <xf numFmtId="0" fontId="0" fillId="0" borderId="0" xfId="0" applyAlignment="1" applyProtection="1">
      <alignment/>
      <protection/>
    </xf>
    <xf numFmtId="0" fontId="9" fillId="0" borderId="0" xfId="0" applyFont="1" applyAlignment="1" applyProtection="1">
      <alignment horizontal="center"/>
      <protection/>
    </xf>
    <xf numFmtId="0" fontId="0" fillId="0" borderId="0" xfId="0" applyFill="1" applyAlignment="1" applyProtection="1">
      <alignment/>
      <protection/>
    </xf>
    <xf numFmtId="0" fontId="13"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4" fillId="35" borderId="0" xfId="0" applyFont="1" applyFill="1" applyBorder="1" applyAlignment="1" applyProtection="1">
      <alignment/>
      <protection/>
    </xf>
    <xf numFmtId="0" fontId="0" fillId="35" borderId="0" xfId="0" applyFont="1" applyFill="1" applyBorder="1" applyAlignment="1" applyProtection="1">
      <alignment horizontal="center"/>
      <protection/>
    </xf>
    <xf numFmtId="0" fontId="0" fillId="35" borderId="0" xfId="0" applyFill="1" applyAlignment="1" applyProtection="1">
      <alignment horizontal="center"/>
      <protection/>
    </xf>
    <xf numFmtId="0" fontId="0" fillId="0" borderId="0" xfId="0" applyFont="1" applyBorder="1" applyAlignment="1" applyProtection="1">
      <alignment horizontal="right"/>
      <protection/>
    </xf>
    <xf numFmtId="0" fontId="0" fillId="35" borderId="0" xfId="0" applyFont="1" applyFill="1" applyBorder="1" applyAlignment="1" applyProtection="1">
      <alignment horizontal="right" vertical="center"/>
      <protection/>
    </xf>
    <xf numFmtId="37" fontId="0" fillId="0" borderId="13" xfId="42" applyNumberFormat="1" applyFont="1" applyBorder="1" applyAlignment="1" applyProtection="1">
      <alignment horizontal="right"/>
      <protection/>
    </xf>
    <xf numFmtId="37" fontId="0" fillId="0" borderId="13" xfId="42" applyNumberFormat="1" applyFont="1" applyFill="1" applyBorder="1" applyAlignment="1" applyProtection="1">
      <alignment/>
      <protection/>
    </xf>
    <xf numFmtId="37" fontId="0" fillId="0" borderId="13" xfId="42" applyNumberFormat="1" applyFont="1" applyFill="1" applyBorder="1" applyAlignment="1" applyProtection="1">
      <alignment/>
      <protection/>
    </xf>
    <xf numFmtId="0" fontId="12" fillId="0" borderId="0" xfId="0" applyFont="1" applyFill="1" applyAlignment="1" applyProtection="1">
      <alignment/>
      <protection/>
    </xf>
    <xf numFmtId="0" fontId="12" fillId="0" borderId="0" xfId="0" applyFont="1" applyAlignment="1" applyProtection="1">
      <alignment horizontal="left"/>
      <protection/>
    </xf>
    <xf numFmtId="37" fontId="0" fillId="0" borderId="15" xfId="42" applyNumberFormat="1" applyFont="1" applyBorder="1" applyAlignment="1" applyProtection="1">
      <alignment horizontal="right"/>
      <protection/>
    </xf>
    <xf numFmtId="0" fontId="8" fillId="0" borderId="0" xfId="0" applyFont="1" applyFill="1" applyAlignment="1" applyProtection="1">
      <alignment/>
      <protection/>
    </xf>
    <xf numFmtId="37" fontId="0" fillId="0" borderId="15" xfId="42" applyNumberFormat="1" applyFont="1" applyFill="1" applyBorder="1" applyAlignment="1" applyProtection="1">
      <alignment/>
      <protection/>
    </xf>
    <xf numFmtId="0" fontId="8" fillId="0" borderId="0" xfId="0" applyFont="1" applyBorder="1" applyAlignment="1" applyProtection="1">
      <alignment horizontal="left" vertical="center"/>
      <protection/>
    </xf>
    <xf numFmtId="0" fontId="8" fillId="0" borderId="0" xfId="0" applyFont="1" applyFill="1" applyAlignment="1" applyProtection="1">
      <alignment horizontal="left" vertical="center"/>
      <protection/>
    </xf>
    <xf numFmtId="0" fontId="0" fillId="0" borderId="0" xfId="0" applyAlignment="1" applyProtection="1">
      <alignment horizontal="left"/>
      <protection/>
    </xf>
    <xf numFmtId="1" fontId="0" fillId="0" borderId="0" xfId="0" applyNumberFormat="1" applyBorder="1" applyAlignment="1" applyProtection="1">
      <alignment horizontal="right"/>
      <protection/>
    </xf>
    <xf numFmtId="0" fontId="8" fillId="0" borderId="0" xfId="0" applyFont="1" applyFill="1" applyAlignment="1" applyProtection="1">
      <alignment horizontal="left"/>
      <protection/>
    </xf>
    <xf numFmtId="0" fontId="0" fillId="0" borderId="0" xfId="0" applyFont="1" applyBorder="1" applyAlignment="1" applyProtection="1">
      <alignment horizontal="right"/>
      <protection/>
    </xf>
    <xf numFmtId="3" fontId="0" fillId="0" borderId="0" xfId="42" applyNumberFormat="1" applyFont="1" applyBorder="1" applyAlignment="1" applyProtection="1">
      <alignment horizontal="right"/>
      <protection/>
    </xf>
    <xf numFmtId="0" fontId="0" fillId="0" borderId="0" xfId="0" applyFont="1" applyBorder="1" applyAlignment="1" applyProtection="1">
      <alignment horizontal="left"/>
      <protection/>
    </xf>
    <xf numFmtId="0" fontId="56" fillId="0" borderId="0" xfId="0" applyFont="1" applyFill="1" applyAlignment="1" applyProtection="1">
      <alignment/>
      <protection/>
    </xf>
    <xf numFmtId="0" fontId="0" fillId="0" borderId="0" xfId="0" applyFont="1" applyFill="1" applyAlignment="1" applyProtection="1">
      <alignment horizontal="right"/>
      <protection/>
    </xf>
    <xf numFmtId="3" fontId="0" fillId="0" borderId="0" xfId="42" applyNumberFormat="1" applyFont="1" applyFill="1" applyAlignment="1" applyProtection="1">
      <alignment horizontal="right"/>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protection/>
    </xf>
    <xf numFmtId="3" fontId="0" fillId="0" borderId="0" xfId="0" applyNumberFormat="1" applyFill="1" applyAlignment="1" applyProtection="1">
      <alignment/>
      <protection/>
    </xf>
    <xf numFmtId="3" fontId="0" fillId="0" borderId="0" xfId="42" applyNumberFormat="1" applyFont="1" applyFill="1" applyAlignment="1" applyProtection="1">
      <alignment/>
      <protection/>
    </xf>
    <xf numFmtId="0" fontId="0" fillId="0" borderId="0" xfId="0" applyFont="1" applyFill="1" applyAlignment="1" applyProtection="1">
      <alignment horizontal="left"/>
      <protection/>
    </xf>
    <xf numFmtId="3" fontId="0" fillId="0" borderId="0" xfId="42" applyNumberFormat="1" applyFont="1" applyAlignment="1" applyProtection="1">
      <alignment/>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8" fillId="0" borderId="0" xfId="0" applyFont="1" applyAlignment="1" applyProtection="1">
      <alignment/>
      <protection/>
    </xf>
    <xf numFmtId="0" fontId="10" fillId="0" borderId="0" xfId="0" applyFont="1" applyBorder="1" applyAlignment="1" applyProtection="1">
      <alignment/>
      <protection/>
    </xf>
    <xf numFmtId="0" fontId="10" fillId="0" borderId="16" xfId="0" applyFont="1" applyBorder="1" applyAlignment="1" applyProtection="1">
      <alignment/>
      <protection/>
    </xf>
    <xf numFmtId="0" fontId="0" fillId="0" borderId="17" xfId="0" applyBorder="1" applyAlignment="1" applyProtection="1">
      <alignment/>
      <protection/>
    </xf>
    <xf numFmtId="0" fontId="10" fillId="0" borderId="17" xfId="0" applyFon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36" borderId="20" xfId="0" applyFill="1" applyBorder="1" applyAlignment="1" applyProtection="1">
      <alignment/>
      <protection/>
    </xf>
    <xf numFmtId="0" fontId="0" fillId="36" borderId="21" xfId="0" applyFill="1" applyBorder="1" applyAlignment="1" applyProtection="1">
      <alignment horizontal="center" vertical="center"/>
      <protection/>
    </xf>
    <xf numFmtId="0" fontId="0" fillId="36" borderId="22" xfId="0" applyFill="1" applyBorder="1" applyAlignment="1" applyProtection="1">
      <alignment/>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wrapText="1"/>
      <protection/>
    </xf>
    <xf numFmtId="0" fontId="0" fillId="36" borderId="24" xfId="0" applyFont="1" applyFill="1" applyBorder="1" applyAlignment="1" applyProtection="1">
      <alignment horizontal="center" vertical="center" wrapText="1"/>
      <protection/>
    </xf>
    <xf numFmtId="0" fontId="0" fillId="0" borderId="25" xfId="0" applyBorder="1" applyAlignment="1" applyProtection="1">
      <alignment/>
      <protection/>
    </xf>
    <xf numFmtId="0" fontId="0" fillId="0" borderId="0" xfId="0" applyFont="1" applyAlignment="1" applyProtection="1">
      <alignment horizontal="right"/>
      <protection/>
    </xf>
    <xf numFmtId="0" fontId="0" fillId="34" borderId="13" xfId="0" applyFill="1" applyBorder="1" applyAlignment="1" applyProtection="1">
      <alignment/>
      <protection/>
    </xf>
    <xf numFmtId="0" fontId="0" fillId="0" borderId="26" xfId="0" applyBorder="1" applyAlignment="1" applyProtection="1">
      <alignment/>
      <protection/>
    </xf>
    <xf numFmtId="0" fontId="0" fillId="0" borderId="0" xfId="0" applyBorder="1" applyAlignment="1" applyProtection="1">
      <alignment/>
      <protection/>
    </xf>
    <xf numFmtId="164" fontId="0" fillId="0" borderId="0" xfId="0" applyNumberFormat="1" applyFill="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8" xfId="0" applyFont="1" applyBorder="1" applyAlignment="1" applyProtection="1">
      <alignment horizontal="right"/>
      <protection/>
    </xf>
    <xf numFmtId="165" fontId="0" fillId="0" borderId="0" xfId="42" applyNumberFormat="1" applyFont="1" applyBorder="1" applyAlignment="1" applyProtection="1">
      <alignment horizontal="right" indent="1"/>
      <protection/>
    </xf>
    <xf numFmtId="0" fontId="0" fillId="0" borderId="0" xfId="0" applyFont="1" applyBorder="1" applyAlignment="1" applyProtection="1">
      <alignment horizontal="lef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0" xfId="0" applyBorder="1" applyAlignment="1" applyProtection="1">
      <alignment/>
      <protection/>
    </xf>
    <xf numFmtId="0" fontId="0" fillId="0" borderId="30" xfId="0" applyBorder="1" applyAlignment="1" applyProtection="1">
      <alignment horizontal="right"/>
      <protection/>
    </xf>
    <xf numFmtId="1" fontId="0" fillId="0" borderId="30" xfId="0" applyNumberFormat="1" applyBorder="1" applyAlignment="1" applyProtection="1">
      <alignment horizontal="center"/>
      <protection/>
    </xf>
    <xf numFmtId="0" fontId="0" fillId="0" borderId="30" xfId="0" applyBorder="1" applyAlignment="1" applyProtection="1">
      <alignment horizontal="left"/>
      <protection/>
    </xf>
    <xf numFmtId="0" fontId="0" fillId="0" borderId="31" xfId="0" applyBorder="1" applyAlignment="1" applyProtection="1">
      <alignment/>
      <protection/>
    </xf>
    <xf numFmtId="1" fontId="0" fillId="0" borderId="0" xfId="0" applyNumberFormat="1" applyBorder="1" applyAlignment="1" applyProtection="1">
      <alignment horizontal="center"/>
      <protection/>
    </xf>
    <xf numFmtId="0" fontId="0" fillId="0" borderId="17" xfId="0" applyBorder="1" applyAlignment="1" applyProtection="1">
      <alignment/>
      <protection/>
    </xf>
    <xf numFmtId="0" fontId="0" fillId="0" borderId="17" xfId="0" applyBorder="1" applyAlignment="1" applyProtection="1">
      <alignment horizontal="right"/>
      <protection/>
    </xf>
    <xf numFmtId="1" fontId="0" fillId="0" borderId="17" xfId="0" applyNumberFormat="1" applyBorder="1" applyAlignment="1" applyProtection="1">
      <alignment horizontal="center"/>
      <protection/>
    </xf>
    <xf numFmtId="0" fontId="0" fillId="0" borderId="17" xfId="0" applyBorder="1" applyAlignment="1" applyProtection="1">
      <alignment horizontal="left"/>
      <protection/>
    </xf>
    <xf numFmtId="0" fontId="0" fillId="36" borderId="23" xfId="0" applyFill="1" applyBorder="1" applyAlignment="1" applyProtection="1">
      <alignment horizontal="center" wrapText="1"/>
      <protection/>
    </xf>
    <xf numFmtId="0" fontId="0" fillId="36" borderId="24" xfId="0" applyFill="1" applyBorder="1" applyAlignment="1" applyProtection="1">
      <alignment horizontal="center" wrapText="1"/>
      <protection/>
    </xf>
    <xf numFmtId="165" fontId="0" fillId="34" borderId="13" xfId="42" applyNumberFormat="1" applyFont="1" applyFill="1" applyBorder="1" applyAlignment="1" applyProtection="1">
      <alignment/>
      <protection/>
    </xf>
    <xf numFmtId="0" fontId="0" fillId="0" borderId="28" xfId="0" applyFont="1" applyBorder="1" applyAlignment="1" applyProtection="1">
      <alignment horizontal="right"/>
      <protection/>
    </xf>
    <xf numFmtId="3" fontId="0" fillId="0" borderId="10" xfId="42" applyNumberFormat="1" applyFont="1" applyBorder="1" applyAlignment="1" applyProtection="1">
      <alignment horizontal="right"/>
      <protection/>
    </xf>
    <xf numFmtId="3" fontId="0" fillId="0" borderId="12" xfId="42" applyNumberFormat="1" applyFont="1" applyBorder="1" applyAlignment="1" applyProtection="1">
      <alignment horizontal="right"/>
      <protection/>
    </xf>
    <xf numFmtId="1" fontId="0" fillId="0" borderId="30" xfId="0" applyNumberFormat="1" applyBorder="1" applyAlignment="1" applyProtection="1">
      <alignment horizontal="right" indent="1"/>
      <protection/>
    </xf>
    <xf numFmtId="0" fontId="0" fillId="0" borderId="16" xfId="0" applyBorder="1" applyAlignment="1" applyProtection="1">
      <alignment/>
      <protection/>
    </xf>
    <xf numFmtId="165" fontId="0" fillId="34" borderId="13" xfId="42" applyNumberFormat="1" applyFont="1" applyFill="1" applyBorder="1" applyAlignment="1" applyProtection="1">
      <alignment/>
      <protection/>
    </xf>
    <xf numFmtId="0" fontId="0" fillId="0" borderId="28" xfId="0" applyBorder="1" applyAlignment="1" applyProtection="1">
      <alignment/>
      <protection/>
    </xf>
    <xf numFmtId="3" fontId="0" fillId="0" borderId="10" xfId="42" applyNumberFormat="1" applyFont="1" applyBorder="1" applyAlignment="1" applyProtection="1">
      <alignment/>
      <protection/>
    </xf>
    <xf numFmtId="3" fontId="0" fillId="0" borderId="12" xfId="42" applyNumberFormat="1" applyFont="1" applyBorder="1" applyAlignment="1" applyProtection="1">
      <alignment/>
      <protection/>
    </xf>
    <xf numFmtId="1" fontId="0" fillId="0" borderId="0" xfId="0" applyNumberFormat="1" applyBorder="1" applyAlignment="1" applyProtection="1">
      <alignment horizontal="right" indent="1"/>
      <protection/>
    </xf>
    <xf numFmtId="0" fontId="0" fillId="36" borderId="22" xfId="0" applyFill="1" applyBorder="1" applyAlignment="1" applyProtection="1">
      <alignment wrapText="1"/>
      <protection/>
    </xf>
    <xf numFmtId="0" fontId="0" fillId="37" borderId="0" xfId="0" applyFill="1" applyAlignment="1" applyProtection="1">
      <alignment/>
      <protection/>
    </xf>
    <xf numFmtId="0" fontId="0" fillId="37" borderId="17" xfId="0" applyFill="1" applyBorder="1" applyAlignment="1" applyProtection="1">
      <alignment/>
      <protection/>
    </xf>
    <xf numFmtId="0" fontId="0" fillId="37" borderId="0" xfId="0" applyFill="1" applyBorder="1" applyAlignment="1" applyProtection="1">
      <alignment/>
      <protection/>
    </xf>
    <xf numFmtId="0" fontId="0" fillId="0" borderId="32" xfId="0" applyBorder="1" applyAlignment="1" applyProtection="1">
      <alignment horizontal="right"/>
      <protection/>
    </xf>
    <xf numFmtId="165" fontId="0" fillId="0" borderId="32" xfId="42" applyNumberFormat="1" applyFont="1" applyBorder="1" applyAlignment="1" applyProtection="1">
      <alignment horizontal="right" indent="1"/>
      <protection/>
    </xf>
    <xf numFmtId="0" fontId="0" fillId="0" borderId="32" xfId="0" applyBorder="1" applyAlignment="1" applyProtection="1">
      <alignment horizontal="left"/>
      <protection/>
    </xf>
    <xf numFmtId="0" fontId="0" fillId="37" borderId="30" xfId="0" applyFill="1" applyBorder="1" applyAlignment="1" applyProtection="1">
      <alignment/>
      <protection/>
    </xf>
    <xf numFmtId="1" fontId="0" fillId="0" borderId="0" xfId="0" applyNumberFormat="1" applyBorder="1" applyAlignment="1" applyProtection="1">
      <alignment horizontal="right" indent="2"/>
      <protection/>
    </xf>
    <xf numFmtId="0" fontId="0" fillId="0" borderId="0" xfId="0" applyBorder="1" applyAlignment="1" applyProtection="1">
      <alignment horizontal="right" indent="2"/>
      <protection/>
    </xf>
    <xf numFmtId="0" fontId="0" fillId="0" borderId="16" xfId="0" applyFont="1" applyBorder="1" applyAlignment="1" applyProtection="1">
      <alignment/>
      <protection/>
    </xf>
    <xf numFmtId="1" fontId="0" fillId="0" borderId="17" xfId="0" applyNumberFormat="1" applyBorder="1" applyAlignment="1" applyProtection="1">
      <alignment horizontal="right" indent="2"/>
      <protection/>
    </xf>
    <xf numFmtId="0" fontId="0" fillId="0" borderId="17" xfId="0" applyBorder="1" applyAlignment="1" applyProtection="1">
      <alignment horizontal="right" indent="2"/>
      <protection/>
    </xf>
    <xf numFmtId="3" fontId="0" fillId="0" borderId="0" xfId="42" applyNumberFormat="1" applyFont="1" applyBorder="1" applyAlignment="1" applyProtection="1">
      <alignment/>
      <protection/>
    </xf>
    <xf numFmtId="3" fontId="0" fillId="0" borderId="0" xfId="0" applyNumberFormat="1" applyBorder="1" applyAlignment="1" applyProtection="1">
      <alignment/>
      <protection/>
    </xf>
    <xf numFmtId="0" fontId="0" fillId="0" borderId="19" xfId="0" applyFont="1" applyBorder="1" applyAlignment="1" applyProtection="1">
      <alignment/>
      <protection/>
    </xf>
    <xf numFmtId="0" fontId="0" fillId="0" borderId="29" xfId="0" applyFont="1" applyBorder="1" applyAlignment="1" applyProtection="1">
      <alignment/>
      <protection/>
    </xf>
    <xf numFmtId="1" fontId="0" fillId="0" borderId="30" xfId="0" applyNumberFormat="1" applyBorder="1" applyAlignment="1" applyProtection="1">
      <alignment horizontal="right" indent="2"/>
      <protection/>
    </xf>
    <xf numFmtId="0" fontId="0" fillId="0" borderId="30" xfId="0" applyBorder="1" applyAlignment="1" applyProtection="1">
      <alignment horizontal="right" indent="2"/>
      <protection/>
    </xf>
    <xf numFmtId="0" fontId="8" fillId="0" borderId="17" xfId="0" applyFont="1" applyBorder="1" applyAlignment="1" applyProtection="1">
      <alignment/>
      <protection/>
    </xf>
    <xf numFmtId="0" fontId="56" fillId="0" borderId="0" xfId="0" applyFont="1" applyBorder="1" applyAlignment="1" applyProtection="1">
      <alignment horizontal="right"/>
      <protection/>
    </xf>
    <xf numFmtId="0" fontId="0" fillId="0" borderId="0" xfId="0" applyFill="1" applyBorder="1" applyAlignment="1" applyProtection="1">
      <alignment horizontal="right"/>
      <protection/>
    </xf>
    <xf numFmtId="1" fontId="0" fillId="0" borderId="0" xfId="58" applyNumberFormat="1" applyFont="1" applyAlignment="1" applyProtection="1">
      <alignment/>
      <protection/>
    </xf>
    <xf numFmtId="0" fontId="8" fillId="0" borderId="0" xfId="0" applyFont="1" applyBorder="1" applyAlignment="1" applyProtection="1">
      <alignment/>
      <protection/>
    </xf>
    <xf numFmtId="165" fontId="0" fillId="0" borderId="0" xfId="42" applyNumberFormat="1" applyFont="1" applyBorder="1" applyAlignment="1" applyProtection="1">
      <alignment horizontal="right" indent="1"/>
      <protection/>
    </xf>
    <xf numFmtId="0" fontId="0" fillId="0" borderId="25" xfId="0" applyFont="1" applyBorder="1" applyAlignment="1" applyProtection="1">
      <alignment/>
      <protection/>
    </xf>
    <xf numFmtId="0" fontId="0" fillId="0" borderId="30" xfId="0" applyFont="1" applyBorder="1" applyAlignment="1" applyProtection="1">
      <alignment/>
      <protection/>
    </xf>
    <xf numFmtId="0" fontId="0" fillId="0" borderId="30" xfId="0" applyFont="1" applyFill="1" applyBorder="1" applyAlignment="1" applyProtection="1">
      <alignment horizontal="right"/>
      <protection/>
    </xf>
    <xf numFmtId="1" fontId="0" fillId="0" borderId="30" xfId="58" applyNumberFormat="1" applyFont="1" applyBorder="1" applyAlignment="1" applyProtection="1">
      <alignment/>
      <protection/>
    </xf>
    <xf numFmtId="0" fontId="0" fillId="0" borderId="30" xfId="0" applyFont="1" applyBorder="1" applyAlignment="1" applyProtection="1">
      <alignment/>
      <protection/>
    </xf>
    <xf numFmtId="0" fontId="11" fillId="0" borderId="30" xfId="0" applyFont="1" applyBorder="1" applyAlignment="1" applyProtection="1">
      <alignment/>
      <protection/>
    </xf>
    <xf numFmtId="0" fontId="10" fillId="0" borderId="0" xfId="0" applyFont="1" applyAlignment="1" applyProtection="1">
      <alignment/>
      <protection/>
    </xf>
    <xf numFmtId="0" fontId="0" fillId="0" borderId="17" xfId="0" applyFont="1" applyFill="1" applyBorder="1" applyAlignment="1" applyProtection="1">
      <alignment/>
      <protection/>
    </xf>
    <xf numFmtId="0" fontId="0" fillId="0" borderId="17" xfId="0" applyFill="1" applyBorder="1" applyAlignment="1" applyProtection="1">
      <alignment/>
      <protection/>
    </xf>
    <xf numFmtId="0" fontId="0" fillId="0" borderId="17" xfId="0" applyFont="1" applyBorder="1" applyAlignment="1" applyProtection="1">
      <alignment/>
      <protection/>
    </xf>
    <xf numFmtId="166" fontId="0" fillId="0" borderId="0" xfId="0" applyNumberFormat="1" applyAlignment="1" applyProtection="1">
      <alignment/>
      <protection/>
    </xf>
    <xf numFmtId="3" fontId="0" fillId="0" borderId="0" xfId="0" applyNumberFormat="1" applyBorder="1" applyAlignment="1" applyProtection="1">
      <alignment horizontal="right"/>
      <protection/>
    </xf>
    <xf numFmtId="164" fontId="0" fillId="0" borderId="0" xfId="0" applyNumberFormat="1" applyAlignment="1" applyProtection="1">
      <alignment/>
      <protection/>
    </xf>
    <xf numFmtId="0" fontId="8" fillId="0" borderId="0" xfId="0" applyFont="1" applyBorder="1" applyAlignment="1" applyProtection="1">
      <alignment horizontal="left"/>
      <protection/>
    </xf>
    <xf numFmtId="164" fontId="0" fillId="0" borderId="0" xfId="0" applyNumberFormat="1" applyAlignment="1" applyProtection="1">
      <alignment horizontal="right"/>
      <protection/>
    </xf>
    <xf numFmtId="0" fontId="0" fillId="38" borderId="19" xfId="0" applyFill="1" applyBorder="1" applyAlignment="1" applyProtection="1">
      <alignment/>
      <protection/>
    </xf>
    <xf numFmtId="0" fontId="8" fillId="38" borderId="0" xfId="0" applyFont="1" applyFill="1" applyBorder="1" applyAlignment="1" applyProtection="1">
      <alignment/>
      <protection/>
    </xf>
    <xf numFmtId="0" fontId="0" fillId="38" borderId="0" xfId="0" applyFill="1" applyBorder="1" applyAlignment="1" applyProtection="1">
      <alignment/>
      <protection/>
    </xf>
    <xf numFmtId="0" fontId="8" fillId="38" borderId="0" xfId="0" applyFont="1" applyFill="1" applyBorder="1" applyAlignment="1" applyProtection="1">
      <alignment horizontal="center"/>
      <protection/>
    </xf>
    <xf numFmtId="0" fontId="0" fillId="38" borderId="25" xfId="0" applyFill="1" applyBorder="1" applyAlignment="1" applyProtection="1">
      <alignment/>
      <protection/>
    </xf>
    <xf numFmtId="1" fontId="0" fillId="0" borderId="0" xfId="0" applyNumberFormat="1" applyAlignment="1" applyProtection="1">
      <alignment/>
      <protection/>
    </xf>
    <xf numFmtId="0" fontId="0" fillId="38" borderId="0" xfId="0" applyFont="1" applyFill="1" applyBorder="1" applyAlignment="1" applyProtection="1">
      <alignment horizontal="right"/>
      <protection/>
    </xf>
    <xf numFmtId="0" fontId="0" fillId="38" borderId="0" xfId="0" applyFont="1" applyFill="1" applyBorder="1" applyAlignment="1" applyProtection="1">
      <alignment/>
      <protection/>
    </xf>
    <xf numFmtId="0" fontId="0" fillId="38" borderId="25" xfId="0" applyFont="1" applyFill="1" applyBorder="1" applyAlignment="1" applyProtection="1">
      <alignment/>
      <protection/>
    </xf>
    <xf numFmtId="3" fontId="0" fillId="38" borderId="0" xfId="0" applyNumberFormat="1" applyFill="1" applyBorder="1" applyAlignment="1" applyProtection="1">
      <alignment horizontal="right"/>
      <protection/>
    </xf>
    <xf numFmtId="3" fontId="0" fillId="38" borderId="0" xfId="0" applyNumberFormat="1" applyFont="1" applyFill="1" applyBorder="1" applyAlignment="1" applyProtection="1">
      <alignment horizontal="left"/>
      <protection/>
    </xf>
    <xf numFmtId="3" fontId="0" fillId="38" borderId="25" xfId="0" applyNumberFormat="1" applyFont="1" applyFill="1" applyBorder="1" applyAlignment="1" applyProtection="1">
      <alignment horizontal="left"/>
      <protection/>
    </xf>
    <xf numFmtId="2" fontId="0" fillId="0" borderId="0" xfId="0" applyNumberFormat="1" applyBorder="1" applyAlignment="1" applyProtection="1">
      <alignment/>
      <protection/>
    </xf>
    <xf numFmtId="166" fontId="0" fillId="38" borderId="0" xfId="0" applyNumberFormat="1" applyFill="1" applyBorder="1" applyAlignment="1" applyProtection="1">
      <alignment horizontal="right"/>
      <protection/>
    </xf>
    <xf numFmtId="164" fontId="0" fillId="38" borderId="0" xfId="0" applyNumberFormat="1" applyFill="1" applyBorder="1" applyAlignment="1" applyProtection="1">
      <alignment/>
      <protection/>
    </xf>
    <xf numFmtId="164" fontId="0" fillId="38" borderId="0" xfId="0" applyNumberFormat="1" applyFill="1" applyBorder="1" applyAlignment="1" applyProtection="1">
      <alignment horizontal="left"/>
      <protection/>
    </xf>
    <xf numFmtId="164" fontId="0" fillId="38" borderId="25" xfId="0" applyNumberFormat="1" applyFill="1" applyBorder="1" applyAlignment="1" applyProtection="1">
      <alignment horizontal="left"/>
      <protection/>
    </xf>
    <xf numFmtId="0" fontId="0" fillId="38" borderId="0" xfId="0" applyFill="1" applyBorder="1" applyAlignment="1" applyProtection="1">
      <alignment horizontal="left"/>
      <protection/>
    </xf>
    <xf numFmtId="0" fontId="0" fillId="38" borderId="25" xfId="0" applyFill="1" applyBorder="1" applyAlignment="1" applyProtection="1">
      <alignment horizontal="left"/>
      <protection/>
    </xf>
    <xf numFmtId="0" fontId="12" fillId="0" borderId="0" xfId="0" applyFont="1" applyBorder="1" applyAlignment="1" applyProtection="1">
      <alignment/>
      <protection/>
    </xf>
    <xf numFmtId="1" fontId="0" fillId="38" borderId="0" xfId="58" applyNumberFormat="1" applyFont="1" applyFill="1" applyBorder="1" applyAlignment="1" applyProtection="1">
      <alignment/>
      <protection/>
    </xf>
    <xf numFmtId="0" fontId="0" fillId="38" borderId="0" xfId="0" applyFont="1" applyFill="1" applyBorder="1" applyAlignment="1" applyProtection="1">
      <alignment horizontal="left"/>
      <protection/>
    </xf>
    <xf numFmtId="0" fontId="0" fillId="38" borderId="25" xfId="0" applyFont="1" applyFill="1" applyBorder="1" applyAlignment="1" applyProtection="1">
      <alignment horizontal="left"/>
      <protection/>
    </xf>
    <xf numFmtId="0" fontId="0" fillId="38" borderId="0" xfId="0" applyFont="1" applyFill="1" applyBorder="1" applyAlignment="1" applyProtection="1">
      <alignment horizontal="left"/>
      <protection/>
    </xf>
    <xf numFmtId="0" fontId="0" fillId="38" borderId="25" xfId="0" applyFont="1" applyFill="1" applyBorder="1" applyAlignment="1" applyProtection="1">
      <alignment horizontal="left"/>
      <protection/>
    </xf>
    <xf numFmtId="0" fontId="56" fillId="0" borderId="0" xfId="0" applyFont="1" applyAlignment="1" applyProtection="1">
      <alignment/>
      <protection/>
    </xf>
    <xf numFmtId="0" fontId="0" fillId="38" borderId="0" xfId="0" applyFont="1" applyFill="1" applyBorder="1" applyAlignment="1" applyProtection="1">
      <alignment horizontal="center"/>
      <protection/>
    </xf>
    <xf numFmtId="3" fontId="0" fillId="38" borderId="0" xfId="42" applyNumberFormat="1" applyFont="1" applyFill="1" applyBorder="1" applyAlignment="1" applyProtection="1">
      <alignment horizontal="right"/>
      <protection/>
    </xf>
    <xf numFmtId="0" fontId="0" fillId="38" borderId="29" xfId="0" applyFill="1" applyBorder="1" applyAlignment="1" applyProtection="1">
      <alignment/>
      <protection/>
    </xf>
    <xf numFmtId="0" fontId="0" fillId="38" borderId="30" xfId="0" applyFill="1" applyBorder="1" applyAlignment="1" applyProtection="1">
      <alignment/>
      <protection/>
    </xf>
    <xf numFmtId="0" fontId="0" fillId="38" borderId="31" xfId="0" applyFill="1" applyBorder="1" applyAlignment="1" applyProtection="1">
      <alignment/>
      <protection/>
    </xf>
    <xf numFmtId="0" fontId="14" fillId="0" borderId="0" xfId="0" applyFont="1" applyAlignment="1" applyProtection="1">
      <alignment horizontal="center"/>
      <protection locked="0"/>
    </xf>
    <xf numFmtId="0" fontId="15"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6" fillId="0" borderId="0" xfId="52" applyAlignment="1" applyProtection="1">
      <alignment horizontal="left" vertical="top" wrapText="1" indent="1"/>
      <protection locked="0"/>
    </xf>
    <xf numFmtId="0" fontId="21" fillId="0" borderId="0" xfId="52" applyFont="1" applyAlignment="1" applyProtection="1">
      <alignment horizontal="left" vertical="top" wrapText="1" indent="1"/>
      <protection locked="0"/>
    </xf>
    <xf numFmtId="0" fontId="18" fillId="0" borderId="0" xfId="0" applyFont="1" applyAlignment="1" applyProtection="1">
      <alignment horizontal="left" vertical="top" wrapText="1"/>
      <protection locked="0"/>
    </xf>
    <xf numFmtId="0" fontId="15" fillId="0" borderId="0" xfId="0" applyFont="1" applyAlignment="1" applyProtection="1">
      <alignment vertical="top"/>
      <protection locked="0"/>
    </xf>
    <xf numFmtId="167" fontId="0" fillId="33" borderId="33" xfId="0" applyNumberFormat="1" applyFill="1" applyBorder="1" applyAlignment="1" applyProtection="1">
      <alignment horizontal="left"/>
      <protection locked="0"/>
    </xf>
    <xf numFmtId="167" fontId="0" fillId="33" borderId="34" xfId="0" applyNumberFormat="1" applyFill="1" applyBorder="1" applyAlignment="1" applyProtection="1">
      <alignment horizontal="left"/>
      <protection locked="0"/>
    </xf>
    <xf numFmtId="0" fontId="0" fillId="33" borderId="33" xfId="0" applyNumberFormat="1" applyFont="1" applyFill="1" applyBorder="1" applyAlignment="1" applyProtection="1">
      <alignment horizontal="left"/>
      <protection locked="0"/>
    </xf>
    <xf numFmtId="0" fontId="0" fillId="33" borderId="34" xfId="0" applyNumberFormat="1" applyFill="1" applyBorder="1" applyAlignment="1" applyProtection="1">
      <alignment horizontal="left"/>
      <protection locked="0"/>
    </xf>
    <xf numFmtId="0" fontId="0" fillId="36" borderId="20" xfId="0" applyFill="1" applyBorder="1" applyAlignment="1" applyProtection="1">
      <alignment horizontal="center"/>
      <protection/>
    </xf>
    <xf numFmtId="0" fontId="0" fillId="36" borderId="21" xfId="0" applyFill="1" applyBorder="1" applyAlignment="1" applyProtection="1">
      <alignment horizontal="center"/>
      <protection/>
    </xf>
    <xf numFmtId="0" fontId="0" fillId="36" borderId="22" xfId="0" applyFill="1" applyBorder="1" applyAlignment="1" applyProtection="1">
      <alignment horizontal="center"/>
      <protection/>
    </xf>
    <xf numFmtId="0" fontId="0" fillId="33" borderId="16" xfId="0" applyNumberFormat="1" applyFont="1" applyFill="1" applyBorder="1" applyAlignment="1" applyProtection="1">
      <alignment horizontal="left" vertical="top"/>
      <protection locked="0"/>
    </xf>
    <xf numFmtId="0" fontId="0" fillId="33" borderId="17" xfId="0" applyNumberFormat="1" applyFill="1" applyBorder="1" applyAlignment="1" applyProtection="1">
      <alignment horizontal="left" vertical="top"/>
      <protection locked="0"/>
    </xf>
    <xf numFmtId="0" fontId="0" fillId="33" borderId="18" xfId="0" applyNumberFormat="1" applyFill="1" applyBorder="1" applyAlignment="1" applyProtection="1">
      <alignment horizontal="left" vertical="top"/>
      <protection locked="0"/>
    </xf>
    <xf numFmtId="0" fontId="0" fillId="33" borderId="33" xfId="0" applyNumberFormat="1" applyFont="1" applyFill="1" applyBorder="1" applyAlignment="1" applyProtection="1">
      <alignment horizontal="left" wrapText="1"/>
      <protection locked="0"/>
    </xf>
    <xf numFmtId="0" fontId="0" fillId="33" borderId="34" xfId="0" applyNumberFormat="1" applyFill="1" applyBorder="1" applyAlignment="1" applyProtection="1">
      <alignment horizontal="left" wrapText="1"/>
      <protection locked="0"/>
    </xf>
    <xf numFmtId="0" fontId="0" fillId="33" borderId="19" xfId="0" applyNumberFormat="1" applyFont="1" applyFill="1" applyBorder="1" applyAlignment="1" applyProtection="1">
      <alignment horizontal="left" vertical="top"/>
      <protection locked="0"/>
    </xf>
    <xf numFmtId="0" fontId="0" fillId="33" borderId="0" xfId="0" applyNumberFormat="1" applyFill="1" applyBorder="1" applyAlignment="1" applyProtection="1">
      <alignment horizontal="left" vertical="top"/>
      <protection locked="0"/>
    </xf>
    <xf numFmtId="0" fontId="0" fillId="33" borderId="25" xfId="0" applyNumberFormat="1" applyFill="1" applyBorder="1" applyAlignment="1" applyProtection="1">
      <alignment horizontal="left" vertical="top"/>
      <protection locked="0"/>
    </xf>
    <xf numFmtId="0" fontId="0" fillId="33" borderId="29" xfId="0" applyNumberFormat="1" applyFont="1" applyFill="1" applyBorder="1" applyAlignment="1" applyProtection="1">
      <alignment horizontal="left" vertical="top"/>
      <protection locked="0"/>
    </xf>
    <xf numFmtId="0" fontId="0" fillId="33" borderId="30" xfId="0" applyNumberFormat="1" applyFill="1" applyBorder="1" applyAlignment="1" applyProtection="1">
      <alignment horizontal="left" vertical="top"/>
      <protection locked="0"/>
    </xf>
    <xf numFmtId="0" fontId="0" fillId="33" borderId="31" xfId="0" applyNumberFormat="1" applyFill="1" applyBorder="1" applyAlignment="1" applyProtection="1">
      <alignment horizontal="left"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indexed="10"/>
      </font>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8</xdr:row>
      <xdr:rowOff>0</xdr:rowOff>
    </xdr:from>
    <xdr:to>
      <xdr:col>4</xdr:col>
      <xdr:colOff>466725</xdr:colOff>
      <xdr:row>9</xdr:row>
      <xdr:rowOff>47625</xdr:rowOff>
    </xdr:to>
    <xdr:pic>
      <xdr:nvPicPr>
        <xdr:cNvPr id="1" name="emergSwineMortalityCheckbox"/>
        <xdr:cNvPicPr preferRelativeResize="1">
          <a:picLocks noChangeAspect="1"/>
        </xdr:cNvPicPr>
      </xdr:nvPicPr>
      <xdr:blipFill>
        <a:blip r:embed="rId1"/>
        <a:stretch>
          <a:fillRect/>
        </a:stretch>
      </xdr:blipFill>
      <xdr:spPr>
        <a:xfrm>
          <a:off x="342900" y="1533525"/>
          <a:ext cx="2266950" cy="276225"/>
        </a:xfrm>
        <a:prstGeom prst="rect">
          <a:avLst/>
        </a:prstGeom>
        <a:noFill/>
        <a:ln w="9525" cmpd="sng">
          <a:noFill/>
        </a:ln>
      </xdr:spPr>
    </xdr:pic>
    <xdr:clientData/>
  </xdr:twoCellAnchor>
  <xdr:twoCellAnchor editAs="oneCell">
    <xdr:from>
      <xdr:col>1</xdr:col>
      <xdr:colOff>95250</xdr:colOff>
      <xdr:row>9</xdr:row>
      <xdr:rowOff>9525</xdr:rowOff>
    </xdr:from>
    <xdr:to>
      <xdr:col>4</xdr:col>
      <xdr:colOff>466725</xdr:colOff>
      <xdr:row>9</xdr:row>
      <xdr:rowOff>209550</xdr:rowOff>
    </xdr:to>
    <xdr:pic>
      <xdr:nvPicPr>
        <xdr:cNvPr id="2" name="emergBovineMortalityCheckbox"/>
        <xdr:cNvPicPr preferRelativeResize="1">
          <a:picLocks noChangeAspect="1"/>
        </xdr:cNvPicPr>
      </xdr:nvPicPr>
      <xdr:blipFill>
        <a:blip r:embed="rId2"/>
        <a:stretch>
          <a:fillRect/>
        </a:stretch>
      </xdr:blipFill>
      <xdr:spPr>
        <a:xfrm>
          <a:off x="342900" y="1771650"/>
          <a:ext cx="2266950" cy="200025"/>
        </a:xfrm>
        <a:prstGeom prst="rect">
          <a:avLst/>
        </a:prstGeom>
        <a:noFill/>
        <a:ln w="9525" cmpd="sng">
          <a:noFill/>
        </a:ln>
      </xdr:spPr>
    </xdr:pic>
    <xdr:clientData/>
  </xdr:twoCellAnchor>
  <xdr:twoCellAnchor editAs="oneCell">
    <xdr:from>
      <xdr:col>1</xdr:col>
      <xdr:colOff>95250</xdr:colOff>
      <xdr:row>10</xdr:row>
      <xdr:rowOff>19050</xdr:rowOff>
    </xdr:from>
    <xdr:to>
      <xdr:col>4</xdr:col>
      <xdr:colOff>533400</xdr:colOff>
      <xdr:row>11</xdr:row>
      <xdr:rowOff>9525</xdr:rowOff>
    </xdr:to>
    <xdr:pic>
      <xdr:nvPicPr>
        <xdr:cNvPr id="3" name="emergPoultryMortalityCheckbox"/>
        <xdr:cNvPicPr preferRelativeResize="1">
          <a:picLocks noChangeAspect="1"/>
        </xdr:cNvPicPr>
      </xdr:nvPicPr>
      <xdr:blipFill>
        <a:blip r:embed="rId3"/>
        <a:stretch>
          <a:fillRect/>
        </a:stretch>
      </xdr:blipFill>
      <xdr:spPr>
        <a:xfrm>
          <a:off x="342900" y="2009775"/>
          <a:ext cx="2333625" cy="219075"/>
        </a:xfrm>
        <a:prstGeom prst="rect">
          <a:avLst/>
        </a:prstGeom>
        <a:noFill/>
        <a:ln w="9525" cmpd="sng">
          <a:noFill/>
        </a:ln>
      </xdr:spPr>
    </xdr:pic>
    <xdr:clientData/>
  </xdr:twoCellAnchor>
  <xdr:twoCellAnchor editAs="oneCell">
    <xdr:from>
      <xdr:col>1</xdr:col>
      <xdr:colOff>95250</xdr:colOff>
      <xdr:row>11</xdr:row>
      <xdr:rowOff>9525</xdr:rowOff>
    </xdr:from>
    <xdr:to>
      <xdr:col>4</xdr:col>
      <xdr:colOff>533400</xdr:colOff>
      <xdr:row>12</xdr:row>
      <xdr:rowOff>28575</xdr:rowOff>
    </xdr:to>
    <xdr:pic>
      <xdr:nvPicPr>
        <xdr:cNvPr id="4" name="emergEquineMortalityCheckbox"/>
        <xdr:cNvPicPr preferRelativeResize="1">
          <a:picLocks noChangeAspect="1"/>
        </xdr:cNvPicPr>
      </xdr:nvPicPr>
      <xdr:blipFill>
        <a:blip r:embed="rId4"/>
        <a:stretch>
          <a:fillRect/>
        </a:stretch>
      </xdr:blipFill>
      <xdr:spPr>
        <a:xfrm>
          <a:off x="342900" y="2228850"/>
          <a:ext cx="2333625" cy="247650"/>
        </a:xfrm>
        <a:prstGeom prst="rect">
          <a:avLst/>
        </a:prstGeom>
        <a:noFill/>
        <a:ln w="9525" cmpd="sng">
          <a:noFill/>
        </a:ln>
      </xdr:spPr>
    </xdr:pic>
    <xdr:clientData/>
  </xdr:twoCellAnchor>
  <xdr:twoCellAnchor editAs="oneCell">
    <xdr:from>
      <xdr:col>1</xdr:col>
      <xdr:colOff>95250</xdr:colOff>
      <xdr:row>12</xdr:row>
      <xdr:rowOff>0</xdr:rowOff>
    </xdr:from>
    <xdr:to>
      <xdr:col>4</xdr:col>
      <xdr:colOff>990600</xdr:colOff>
      <xdr:row>13</xdr:row>
      <xdr:rowOff>28575</xdr:rowOff>
    </xdr:to>
    <xdr:pic>
      <xdr:nvPicPr>
        <xdr:cNvPr id="5" name="emergRuminantMortalityCheckbox"/>
        <xdr:cNvPicPr preferRelativeResize="1">
          <a:picLocks noChangeAspect="1"/>
        </xdr:cNvPicPr>
      </xdr:nvPicPr>
      <xdr:blipFill>
        <a:blip r:embed="rId5"/>
        <a:stretch>
          <a:fillRect/>
        </a:stretch>
      </xdr:blipFill>
      <xdr:spPr>
        <a:xfrm>
          <a:off x="342900" y="2447925"/>
          <a:ext cx="27908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su.edu/~rozebo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C88"/>
  <sheetViews>
    <sheetView showGridLines="0" showRowColHeaders="0" tabSelected="1" zoomScalePageLayoutView="0" workbookViewId="0" topLeftCell="A1">
      <selection activeCell="D9" sqref="D9"/>
    </sheetView>
  </sheetViews>
  <sheetFormatPr defaultColWidth="9.140625" defaultRowHeight="12.75"/>
  <cols>
    <col min="1" max="1" width="2.00390625" style="9" customWidth="1"/>
    <col min="2" max="2" width="26.00390625" style="9" customWidth="1"/>
    <col min="3" max="3" width="94.8515625" style="9" customWidth="1"/>
    <col min="4" max="16384" width="9.140625" style="9" customWidth="1"/>
  </cols>
  <sheetData>
    <row r="1" ht="4.5" customHeight="1"/>
    <row r="2" spans="2:3" ht="22.5">
      <c r="B2" s="192" t="s">
        <v>219</v>
      </c>
      <c r="C2" s="192"/>
    </row>
    <row r="3" spans="2:3" ht="22.5">
      <c r="B3" s="192" t="s">
        <v>220</v>
      </c>
      <c r="C3" s="192"/>
    </row>
    <row r="4" spans="1:2" ht="10.5" customHeight="1">
      <c r="A4" s="10"/>
      <c r="B4" s="11"/>
    </row>
    <row r="5" spans="1:3" ht="15.75">
      <c r="A5" s="10"/>
      <c r="B5" s="196" t="s">
        <v>54</v>
      </c>
      <c r="C5" s="196"/>
    </row>
    <row r="6" spans="1:3" ht="54" customHeight="1">
      <c r="A6" s="10"/>
      <c r="B6" s="193" t="s">
        <v>143</v>
      </c>
      <c r="C6" s="195"/>
    </row>
    <row r="7" spans="1:3" ht="67.5" customHeight="1">
      <c r="A7" s="10"/>
      <c r="B7" s="193" t="s">
        <v>199</v>
      </c>
      <c r="C7" s="195"/>
    </row>
    <row r="8" spans="2:3" ht="85.5" customHeight="1">
      <c r="B8" s="193" t="s">
        <v>202</v>
      </c>
      <c r="C8" s="195"/>
    </row>
    <row r="9" spans="2:3" ht="18" customHeight="1">
      <c r="B9" s="201" t="s">
        <v>211</v>
      </c>
      <c r="C9" s="201"/>
    </row>
    <row r="10" ht="12.75" customHeight="1">
      <c r="B10" s="11"/>
    </row>
    <row r="11" spans="1:3" ht="21" customHeight="1">
      <c r="A11" s="10"/>
      <c r="B11" s="196" t="s">
        <v>55</v>
      </c>
      <c r="C11" s="196"/>
    </row>
    <row r="12" spans="1:3" ht="110.25" customHeight="1">
      <c r="A12" s="10"/>
      <c r="B12" s="193" t="s">
        <v>200</v>
      </c>
      <c r="C12" s="193"/>
    </row>
    <row r="13" spans="2:3" ht="109.5" customHeight="1" hidden="1">
      <c r="B13" s="193" t="s">
        <v>205</v>
      </c>
      <c r="C13" s="195"/>
    </row>
    <row r="14" ht="15">
      <c r="B14" s="11"/>
    </row>
    <row r="15" spans="1:3" ht="19.5" customHeight="1">
      <c r="A15" s="10"/>
      <c r="B15" s="196" t="s">
        <v>56</v>
      </c>
      <c r="C15" s="196"/>
    </row>
    <row r="16" spans="2:3" ht="114.75" customHeight="1">
      <c r="B16" s="193" t="s">
        <v>144</v>
      </c>
      <c r="C16" s="195"/>
    </row>
    <row r="17" spans="2:3" ht="18.75" customHeight="1">
      <c r="B17" s="12" t="s">
        <v>145</v>
      </c>
      <c r="C17" s="13"/>
    </row>
    <row r="18" spans="2:3" ht="38.25" customHeight="1">
      <c r="B18" s="193" t="s">
        <v>146</v>
      </c>
      <c r="C18" s="193"/>
    </row>
    <row r="19" spans="2:3" ht="51.75" customHeight="1">
      <c r="B19" s="193" t="s">
        <v>147</v>
      </c>
      <c r="C19" s="193"/>
    </row>
    <row r="20" spans="2:3" ht="53.25" customHeight="1">
      <c r="B20" s="193" t="s">
        <v>148</v>
      </c>
      <c r="C20" s="193"/>
    </row>
    <row r="21" spans="2:3" ht="27.75" customHeight="1">
      <c r="B21" s="193" t="s">
        <v>149</v>
      </c>
      <c r="C21" s="193"/>
    </row>
    <row r="22" spans="2:3" ht="21" customHeight="1">
      <c r="B22" s="193" t="s">
        <v>150</v>
      </c>
      <c r="C22" s="193"/>
    </row>
    <row r="23" spans="2:3" ht="33.75" customHeight="1">
      <c r="B23" s="193" t="s">
        <v>151</v>
      </c>
      <c r="C23" s="193"/>
    </row>
    <row r="24" spans="2:3" ht="21" customHeight="1">
      <c r="B24" s="193" t="s">
        <v>212</v>
      </c>
      <c r="C24" s="193"/>
    </row>
    <row r="25" spans="2:3" ht="21" customHeight="1">
      <c r="B25" s="193" t="s">
        <v>152</v>
      </c>
      <c r="C25" s="193"/>
    </row>
    <row r="26" spans="2:3" ht="34.5" customHeight="1">
      <c r="B26" s="193" t="s">
        <v>153</v>
      </c>
      <c r="C26" s="193"/>
    </row>
    <row r="27" spans="2:3" ht="17.25" customHeight="1">
      <c r="B27" s="193"/>
      <c r="C27" s="193"/>
    </row>
    <row r="28" spans="2:3" ht="21" customHeight="1">
      <c r="B28" s="193" t="s">
        <v>154</v>
      </c>
      <c r="C28" s="193"/>
    </row>
    <row r="29" spans="2:3" ht="21" customHeight="1">
      <c r="B29" s="193" t="s">
        <v>155</v>
      </c>
      <c r="C29" s="193"/>
    </row>
    <row r="30" spans="2:3" ht="21" customHeight="1">
      <c r="B30" s="193" t="s">
        <v>156</v>
      </c>
      <c r="C30" s="193"/>
    </row>
    <row r="31" spans="2:3" ht="21" customHeight="1">
      <c r="B31" s="193" t="s">
        <v>168</v>
      </c>
      <c r="C31" s="193"/>
    </row>
    <row r="32" spans="2:3" ht="21" customHeight="1">
      <c r="B32" s="193" t="s">
        <v>157</v>
      </c>
      <c r="C32" s="193"/>
    </row>
    <row r="33" spans="2:3" ht="21" customHeight="1">
      <c r="B33" s="193" t="s">
        <v>158</v>
      </c>
      <c r="C33" s="193"/>
    </row>
    <row r="34" spans="2:3" ht="21" customHeight="1">
      <c r="B34" s="193" t="s">
        <v>159</v>
      </c>
      <c r="C34" s="193"/>
    </row>
    <row r="35" spans="2:3" ht="21" customHeight="1">
      <c r="B35" s="193" t="s">
        <v>161</v>
      </c>
      <c r="C35" s="193"/>
    </row>
    <row r="36" spans="2:3" ht="21" customHeight="1">
      <c r="B36" s="193" t="s">
        <v>160</v>
      </c>
      <c r="C36" s="193"/>
    </row>
    <row r="37" spans="2:3" ht="23.25" customHeight="1">
      <c r="B37" s="193" t="s">
        <v>162</v>
      </c>
      <c r="C37" s="193"/>
    </row>
    <row r="38" spans="2:3" ht="21" customHeight="1">
      <c r="B38" s="193" t="s">
        <v>167</v>
      </c>
      <c r="C38" s="193"/>
    </row>
    <row r="39" spans="2:3" ht="21" customHeight="1">
      <c r="B39" s="193" t="s">
        <v>163</v>
      </c>
      <c r="C39" s="193"/>
    </row>
    <row r="40" spans="2:3" ht="21" customHeight="1">
      <c r="B40" s="193" t="s">
        <v>164</v>
      </c>
      <c r="C40" s="193"/>
    </row>
    <row r="41" spans="2:3" ht="24" customHeight="1">
      <c r="B41" s="193" t="s">
        <v>165</v>
      </c>
      <c r="C41" s="193"/>
    </row>
    <row r="42" spans="2:3" ht="21" customHeight="1">
      <c r="B42" s="193" t="s">
        <v>166</v>
      </c>
      <c r="C42" s="193"/>
    </row>
    <row r="43" spans="2:3" ht="21" customHeight="1">
      <c r="B43" s="193" t="s">
        <v>169</v>
      </c>
      <c r="C43" s="193"/>
    </row>
    <row r="44" spans="2:3" ht="21" customHeight="1">
      <c r="B44" s="193" t="s">
        <v>170</v>
      </c>
      <c r="C44" s="193"/>
    </row>
    <row r="45" spans="2:3" ht="21" customHeight="1">
      <c r="B45" s="193" t="s">
        <v>171</v>
      </c>
      <c r="C45" s="193"/>
    </row>
    <row r="46" spans="2:3" ht="21" customHeight="1">
      <c r="B46" s="193" t="s">
        <v>165</v>
      </c>
      <c r="C46" s="193"/>
    </row>
    <row r="47" spans="2:3" ht="21" customHeight="1">
      <c r="B47" s="193" t="s">
        <v>172</v>
      </c>
      <c r="C47" s="193"/>
    </row>
    <row r="48" spans="2:3" ht="21" customHeight="1">
      <c r="B48" s="193" t="s">
        <v>173</v>
      </c>
      <c r="C48" s="193"/>
    </row>
    <row r="49" spans="2:3" ht="21" customHeight="1">
      <c r="B49" s="193" t="s">
        <v>174</v>
      </c>
      <c r="C49" s="193"/>
    </row>
    <row r="50" spans="2:3" ht="21" customHeight="1">
      <c r="B50" s="193" t="s">
        <v>175</v>
      </c>
      <c r="C50" s="193"/>
    </row>
    <row r="51" spans="2:3" ht="21" customHeight="1">
      <c r="B51" s="193" t="s">
        <v>176</v>
      </c>
      <c r="C51" s="193"/>
    </row>
    <row r="52" spans="2:3" ht="21" customHeight="1">
      <c r="B52" s="193" t="s">
        <v>177</v>
      </c>
      <c r="C52" s="193"/>
    </row>
    <row r="53" spans="2:3" ht="21" customHeight="1">
      <c r="B53" s="193" t="s">
        <v>178</v>
      </c>
      <c r="C53" s="193"/>
    </row>
    <row r="54" spans="2:3" ht="13.5" customHeight="1">
      <c r="B54" s="14"/>
      <c r="C54" s="14"/>
    </row>
    <row r="55" spans="2:3" ht="21.75" customHeight="1">
      <c r="B55" s="195" t="s">
        <v>57</v>
      </c>
      <c r="C55" s="195"/>
    </row>
    <row r="56" spans="2:3" ht="24.75" customHeight="1">
      <c r="B56" s="200" t="s">
        <v>58</v>
      </c>
      <c r="C56" s="200"/>
    </row>
    <row r="57" spans="2:3" ht="51" customHeight="1">
      <c r="B57" s="200" t="s">
        <v>125</v>
      </c>
      <c r="C57" s="200"/>
    </row>
    <row r="58" ht="15" customHeight="1">
      <c r="B58" s="15"/>
    </row>
    <row r="59" spans="2:3" ht="17.25" customHeight="1">
      <c r="B59" s="197" t="s">
        <v>61</v>
      </c>
      <c r="C59" s="197"/>
    </row>
    <row r="60" spans="2:3" ht="25.5" customHeight="1">
      <c r="B60" s="193" t="s">
        <v>179</v>
      </c>
      <c r="C60" s="195"/>
    </row>
    <row r="61" spans="2:3" ht="24" customHeight="1">
      <c r="B61" s="194" t="s">
        <v>59</v>
      </c>
      <c r="C61" s="194"/>
    </row>
    <row r="62" spans="2:3" ht="54.75" customHeight="1">
      <c r="B62" s="194" t="s">
        <v>126</v>
      </c>
      <c r="C62" s="194"/>
    </row>
    <row r="63" spans="2:3" ht="68.25" customHeight="1">
      <c r="B63" s="193" t="s">
        <v>201</v>
      </c>
      <c r="C63" s="195"/>
    </row>
    <row r="64" spans="2:3" ht="23.25" customHeight="1">
      <c r="B64" s="198" t="s">
        <v>210</v>
      </c>
      <c r="C64" s="199"/>
    </row>
    <row r="65" spans="2:3" ht="114" customHeight="1">
      <c r="B65" s="194" t="s">
        <v>180</v>
      </c>
      <c r="C65" s="194"/>
    </row>
    <row r="66" ht="18.75" customHeight="1">
      <c r="B66" s="16"/>
    </row>
    <row r="67" spans="2:3" ht="17.25" customHeight="1">
      <c r="B67" s="197" t="s">
        <v>60</v>
      </c>
      <c r="C67" s="197"/>
    </row>
    <row r="68" spans="2:3" ht="65.25" customHeight="1">
      <c r="B68" s="193" t="s">
        <v>181</v>
      </c>
      <c r="C68" s="195"/>
    </row>
    <row r="69" ht="12.75">
      <c r="B69" s="16"/>
    </row>
    <row r="70" spans="2:3" ht="17.25" customHeight="1">
      <c r="B70" s="196" t="s">
        <v>182</v>
      </c>
      <c r="C70" s="197"/>
    </row>
    <row r="71" spans="2:3" ht="25.5" customHeight="1">
      <c r="B71" s="193" t="s">
        <v>183</v>
      </c>
      <c r="C71" s="195"/>
    </row>
    <row r="72" spans="2:3" ht="15">
      <c r="B72" s="193" t="s">
        <v>185</v>
      </c>
      <c r="C72" s="193"/>
    </row>
    <row r="73" spans="2:3" ht="15">
      <c r="B73" s="193" t="s">
        <v>184</v>
      </c>
      <c r="C73" s="193"/>
    </row>
    <row r="74" spans="2:3" ht="36" customHeight="1">
      <c r="B74" s="194" t="s">
        <v>186</v>
      </c>
      <c r="C74" s="194"/>
    </row>
    <row r="75" spans="2:3" ht="51.75" customHeight="1">
      <c r="B75" s="193" t="s">
        <v>187</v>
      </c>
      <c r="C75" s="193"/>
    </row>
    <row r="76" spans="2:3" ht="66.75" customHeight="1">
      <c r="B76" s="193" t="s">
        <v>188</v>
      </c>
      <c r="C76" s="193"/>
    </row>
    <row r="77" spans="2:3" ht="12.75" customHeight="1">
      <c r="B77" s="193"/>
      <c r="C77" s="193"/>
    </row>
    <row r="78" spans="2:3" ht="22.5" customHeight="1">
      <c r="B78" s="196" t="s">
        <v>191</v>
      </c>
      <c r="C78" s="197"/>
    </row>
    <row r="79" spans="2:3" ht="69" customHeight="1">
      <c r="B79" s="193" t="s">
        <v>197</v>
      </c>
      <c r="C79" s="193"/>
    </row>
    <row r="80" spans="2:3" ht="94.5" customHeight="1">
      <c r="B80" s="193" t="s">
        <v>198</v>
      </c>
      <c r="C80" s="193"/>
    </row>
    <row r="82" spans="2:3" ht="20.25" customHeight="1">
      <c r="B82" s="194" t="s">
        <v>127</v>
      </c>
      <c r="C82" s="194"/>
    </row>
    <row r="84" ht="15">
      <c r="B84" s="17" t="s">
        <v>189</v>
      </c>
    </row>
    <row r="86" spans="2:3" ht="65.25" customHeight="1">
      <c r="B86" s="194" t="s">
        <v>190</v>
      </c>
      <c r="C86" s="194"/>
    </row>
    <row r="88" spans="2:3" ht="52.5" customHeight="1">
      <c r="B88" s="194" t="s">
        <v>62</v>
      </c>
      <c r="C88" s="194"/>
    </row>
  </sheetData>
  <sheetProtection password="B5B1" sheet="1" objects="1" scenarios="1" selectLockedCells="1" selectUnlockedCells="1"/>
  <mergeCells count="74">
    <mergeCell ref="B53:C53"/>
    <mergeCell ref="B48:C48"/>
    <mergeCell ref="B49:C49"/>
    <mergeCell ref="B50:C50"/>
    <mergeCell ref="B51:C51"/>
    <mergeCell ref="B52:C52"/>
    <mergeCell ref="B78:C78"/>
    <mergeCell ref="B79:C79"/>
    <mergeCell ref="B80:C80"/>
    <mergeCell ref="B72:C72"/>
    <mergeCell ref="B73:C73"/>
    <mergeCell ref="B74:C74"/>
    <mergeCell ref="B76:C76"/>
    <mergeCell ref="B77:C77"/>
    <mergeCell ref="B44:C44"/>
    <mergeCell ref="B45:C45"/>
    <mergeCell ref="B46:C46"/>
    <mergeCell ref="B47:C47"/>
    <mergeCell ref="B41:C41"/>
    <mergeCell ref="B42:C42"/>
    <mergeCell ref="B43:C43"/>
    <mergeCell ref="B39:C39"/>
    <mergeCell ref="B40:C40"/>
    <mergeCell ref="B28:C28"/>
    <mergeCell ref="B29:C29"/>
    <mergeCell ref="B30:C30"/>
    <mergeCell ref="B31:C31"/>
    <mergeCell ref="B32:C32"/>
    <mergeCell ref="B33:C33"/>
    <mergeCell ref="B34:C34"/>
    <mergeCell ref="B35:C35"/>
    <mergeCell ref="B23:C23"/>
    <mergeCell ref="B24:C24"/>
    <mergeCell ref="B25:C25"/>
    <mergeCell ref="B26:C26"/>
    <mergeCell ref="B27:C27"/>
    <mergeCell ref="B38:C38"/>
    <mergeCell ref="B36:C36"/>
    <mergeCell ref="B37:C37"/>
    <mergeCell ref="B7:C7"/>
    <mergeCell ref="B8:C8"/>
    <mergeCell ref="B12:C12"/>
    <mergeCell ref="B22:C22"/>
    <mergeCell ref="B18:C18"/>
    <mergeCell ref="B19:C19"/>
    <mergeCell ref="B20:C20"/>
    <mergeCell ref="B21:C21"/>
    <mergeCell ref="B9:C9"/>
    <mergeCell ref="B55:C55"/>
    <mergeCell ref="B56:C56"/>
    <mergeCell ref="B57:C57"/>
    <mergeCell ref="B3:C3"/>
    <mergeCell ref="B11:C11"/>
    <mergeCell ref="B13:C13"/>
    <mergeCell ref="B15:C15"/>
    <mergeCell ref="B16:C16"/>
    <mergeCell ref="B5:C5"/>
    <mergeCell ref="B6:C6"/>
    <mergeCell ref="B65:C65"/>
    <mergeCell ref="B67:C67"/>
    <mergeCell ref="B59:C59"/>
    <mergeCell ref="B60:C60"/>
    <mergeCell ref="B61:C61"/>
    <mergeCell ref="B62:C62"/>
    <mergeCell ref="B2:C2"/>
    <mergeCell ref="B75:C75"/>
    <mergeCell ref="B82:C82"/>
    <mergeCell ref="B88:C88"/>
    <mergeCell ref="B86:C86"/>
    <mergeCell ref="B68:C68"/>
    <mergeCell ref="B70:C70"/>
    <mergeCell ref="B71:C71"/>
    <mergeCell ref="B63:C63"/>
    <mergeCell ref="B64:C64"/>
  </mergeCells>
  <hyperlinks>
    <hyperlink ref="B64" r:id="rId1" display="https://www.msu.edu/~rozeboom/"/>
  </hyperlinks>
  <printOptions/>
  <pageMargins left="0.5" right="0.5" top="1" bottom="0.75" header="0" footer="0"/>
  <pageSetup fitToHeight="2" fitToWidth="1" horizontalDpi="600" verticalDpi="600" orientation="portrait" scale="78" r:id="rId2"/>
</worksheet>
</file>

<file path=xl/worksheets/sheet2.xml><?xml version="1.0" encoding="utf-8"?>
<worksheet xmlns="http://schemas.openxmlformats.org/spreadsheetml/2006/main" xmlns:r="http://schemas.openxmlformats.org/officeDocument/2006/relationships">
  <sheetPr codeName="Sheet5">
    <outlinePr summaryBelow="0"/>
    <pageSetUpPr fitToPage="1"/>
  </sheetPr>
  <dimension ref="A1:Z144"/>
  <sheetViews>
    <sheetView showGridLines="0" zoomScaleSheetLayoutView="80" zoomScalePageLayoutView="0" workbookViewId="0" topLeftCell="A1">
      <selection activeCell="D3" sqref="D3:E3"/>
    </sheetView>
  </sheetViews>
  <sheetFormatPr defaultColWidth="9.140625" defaultRowHeight="12.75"/>
  <cols>
    <col min="1" max="1" width="3.7109375" style="29" customWidth="1"/>
    <col min="2" max="2" width="2.140625" style="29" customWidth="1"/>
    <col min="3" max="3" width="12.57421875" style="29" customWidth="1"/>
    <col min="4" max="4" width="13.7109375" style="29" customWidth="1"/>
    <col min="5" max="5" width="16.28125" style="29" customWidth="1"/>
    <col min="6" max="6" width="16.421875" style="29" customWidth="1"/>
    <col min="7" max="7" width="15.421875" style="29" customWidth="1"/>
    <col min="8" max="8" width="16.00390625" style="29" customWidth="1"/>
    <col min="9" max="9" width="15.140625" style="29" customWidth="1"/>
    <col min="10" max="10" width="13.7109375" style="29" customWidth="1"/>
    <col min="11" max="11" width="6.7109375" style="29" customWidth="1"/>
    <col min="12" max="12" width="13.57421875" style="29" customWidth="1"/>
    <col min="13" max="13" width="4.140625" style="29" customWidth="1"/>
    <col min="14" max="14" width="15.7109375" style="29" hidden="1" customWidth="1"/>
    <col min="15" max="15" width="22.00390625" style="29" hidden="1" customWidth="1"/>
    <col min="16" max="16" width="10.00390625" style="29" hidden="1" customWidth="1"/>
    <col min="17" max="17" width="9.7109375" style="29" hidden="1" customWidth="1"/>
    <col min="18" max="21" width="9.140625" style="29" hidden="1" customWidth="1"/>
    <col min="22" max="22" width="11.00390625" style="29" hidden="1" customWidth="1"/>
    <col min="23" max="26" width="9.140625" style="29" hidden="1" customWidth="1"/>
    <col min="27" max="27" width="19.00390625" style="29" hidden="1" customWidth="1"/>
    <col min="28" max="28" width="9.140625" style="29" customWidth="1"/>
    <col min="29" max="16384" width="9.140625" style="29" customWidth="1"/>
  </cols>
  <sheetData>
    <row r="1" spans="7:20" ht="19.5" customHeight="1">
      <c r="G1" s="30" t="s">
        <v>218</v>
      </c>
      <c r="M1" s="31"/>
      <c r="N1" s="32" t="s">
        <v>47</v>
      </c>
      <c r="O1" s="31"/>
      <c r="P1" s="31"/>
      <c r="Q1" s="31"/>
      <c r="R1" s="31"/>
      <c r="S1" s="31"/>
      <c r="T1" s="31"/>
    </row>
    <row r="2" spans="3:20" s="33" customFormat="1" ht="8.25" customHeight="1">
      <c r="C2" s="34"/>
      <c r="D2" s="34"/>
      <c r="I2" s="34"/>
      <c r="J2" s="34"/>
      <c r="K2" s="34"/>
      <c r="L2" s="34"/>
      <c r="M2" s="35"/>
      <c r="N2" s="36"/>
      <c r="O2" s="36"/>
      <c r="P2" s="36"/>
      <c r="Q2" s="36"/>
      <c r="R2" s="36"/>
      <c r="S2" s="36"/>
      <c r="T2" s="36"/>
    </row>
    <row r="3" spans="3:19" ht="15" customHeight="1">
      <c r="C3" s="37" t="s">
        <v>63</v>
      </c>
      <c r="D3" s="202"/>
      <c r="E3" s="203"/>
      <c r="F3" s="38"/>
      <c r="G3" s="39" t="s">
        <v>27</v>
      </c>
      <c r="H3" s="209"/>
      <c r="I3" s="210"/>
      <c r="J3" s="211"/>
      <c r="O3" s="40"/>
      <c r="P3" s="41" t="s">
        <v>81</v>
      </c>
      <c r="Q3" s="42"/>
      <c r="R3" s="41" t="s">
        <v>78</v>
      </c>
      <c r="S3" s="42"/>
    </row>
    <row r="4" spans="3:19" ht="15" customHeight="1">
      <c r="C4" s="43" t="s">
        <v>24</v>
      </c>
      <c r="D4" s="212"/>
      <c r="E4" s="213"/>
      <c r="G4" s="38"/>
      <c r="H4" s="214"/>
      <c r="I4" s="215"/>
      <c r="J4" s="216"/>
      <c r="O4" s="44" t="s">
        <v>106</v>
      </c>
      <c r="P4" s="45">
        <f>IF(UseSwineMortality,swineMortality,0)</f>
        <v>0</v>
      </c>
      <c r="R4" s="46">
        <f>IF(UseSwineMortality,swineVolume,0)</f>
        <v>0</v>
      </c>
      <c r="S4" s="31"/>
    </row>
    <row r="5" spans="3:20" ht="15" customHeight="1">
      <c r="C5" s="43" t="s">
        <v>25</v>
      </c>
      <c r="D5" s="204"/>
      <c r="E5" s="205"/>
      <c r="G5" s="38"/>
      <c r="H5" s="217"/>
      <c r="I5" s="218"/>
      <c r="J5" s="219"/>
      <c r="O5" s="44" t="s">
        <v>108</v>
      </c>
      <c r="P5" s="45">
        <f>IF(useBovineMortality,bovineMortality,0)</f>
        <v>0</v>
      </c>
      <c r="R5" s="47">
        <f>IF(useBovineMortality,bovineVolume,0)</f>
        <v>0</v>
      </c>
      <c r="S5" s="48"/>
      <c r="T5" s="49"/>
    </row>
    <row r="6" spans="3:19" ht="15" customHeight="1">
      <c r="C6" s="43" t="s">
        <v>26</v>
      </c>
      <c r="D6" s="204"/>
      <c r="E6" s="205"/>
      <c r="F6" s="31"/>
      <c r="G6" s="31"/>
      <c r="H6" s="31"/>
      <c r="I6" s="31"/>
      <c r="J6" s="31"/>
      <c r="K6" s="31"/>
      <c r="L6" s="31"/>
      <c r="O6" s="44" t="s">
        <v>109</v>
      </c>
      <c r="P6" s="50">
        <f>IF(usePoultryMortality,poultryMortality,0)</f>
        <v>0</v>
      </c>
      <c r="Q6" s="51"/>
      <c r="R6" s="52">
        <f>IF(usePoultryMortality,poultryVolume,0)</f>
        <v>0</v>
      </c>
      <c r="S6" s="31"/>
    </row>
    <row r="7" spans="3:19" ht="15" customHeight="1">
      <c r="C7" s="31"/>
      <c r="D7" s="31"/>
      <c r="E7" s="31"/>
      <c r="F7" s="31"/>
      <c r="G7" s="31"/>
      <c r="H7" s="31"/>
      <c r="I7" s="31"/>
      <c r="J7" s="31"/>
      <c r="K7" s="31"/>
      <c r="L7" s="31"/>
      <c r="O7" s="44" t="s">
        <v>110</v>
      </c>
      <c r="P7" s="45">
        <f>IF(useEquineMortality,equineMortality,0)</f>
        <v>0</v>
      </c>
      <c r="Q7" s="51"/>
      <c r="R7" s="46">
        <f>IF(useEquineMortality,equineVolume,0)</f>
        <v>0</v>
      </c>
      <c r="S7" s="31"/>
    </row>
    <row r="8" spans="2:19" ht="18" customHeight="1">
      <c r="B8" s="53" t="s">
        <v>203</v>
      </c>
      <c r="D8" s="31"/>
      <c r="E8" s="31"/>
      <c r="F8" s="31"/>
      <c r="G8" s="54" t="s">
        <v>50</v>
      </c>
      <c r="H8" s="55"/>
      <c r="I8" s="31"/>
      <c r="J8" s="31"/>
      <c r="K8" s="31"/>
      <c r="L8" s="31"/>
      <c r="O8" s="44" t="s">
        <v>111</v>
      </c>
      <c r="P8" s="45">
        <f>IF(useSmallRuminantMortality,ruminantMortality,0)</f>
        <v>0</v>
      </c>
      <c r="Q8" s="51"/>
      <c r="R8" s="46">
        <f>IF(useSmallRuminantMortality,ruminantVolume,0)</f>
        <v>0</v>
      </c>
      <c r="S8" s="31"/>
    </row>
    <row r="9" spans="3:19" ht="18" customHeight="1">
      <c r="C9" s="54"/>
      <c r="E9" s="31"/>
      <c r="F9" s="31"/>
      <c r="O9" s="39"/>
      <c r="P9" s="56"/>
      <c r="Q9" s="51"/>
      <c r="R9" s="31"/>
      <c r="S9" s="31"/>
    </row>
    <row r="10" spans="3:21" ht="18" customHeight="1">
      <c r="C10" s="54"/>
      <c r="E10" s="31"/>
      <c r="F10" s="31"/>
      <c r="G10" s="57"/>
      <c r="H10" s="55"/>
      <c r="I10" s="31"/>
      <c r="J10" s="31"/>
      <c r="K10" s="31"/>
      <c r="O10" s="58" t="s">
        <v>48</v>
      </c>
      <c r="P10" s="59">
        <f>SUM(P4:P8)</f>
        <v>0</v>
      </c>
      <c r="Q10" s="60" t="s">
        <v>68</v>
      </c>
      <c r="R10" s="61"/>
      <c r="S10" s="31"/>
      <c r="T10" s="31"/>
      <c r="U10" s="31"/>
    </row>
    <row r="11" spans="3:21" ht="18" customHeight="1">
      <c r="C11" s="54"/>
      <c r="E11" s="31"/>
      <c r="F11" s="31"/>
      <c r="G11" s="57"/>
      <c r="H11" s="55"/>
      <c r="I11" s="31"/>
      <c r="J11" s="31"/>
      <c r="K11" s="31"/>
      <c r="O11" s="62" t="s">
        <v>120</v>
      </c>
      <c r="P11" s="63">
        <f>EmergencyFarmMortality/TargetTissueDensity</f>
        <v>0</v>
      </c>
      <c r="Q11" s="64" t="s">
        <v>15</v>
      </c>
      <c r="R11" s="31"/>
      <c r="S11" s="31"/>
      <c r="T11" s="31"/>
      <c r="U11" s="31"/>
    </row>
    <row r="12" spans="3:21" ht="18" customHeight="1">
      <c r="C12" s="54"/>
      <c r="E12" s="31"/>
      <c r="F12" s="31"/>
      <c r="G12" s="57"/>
      <c r="H12" s="55"/>
      <c r="I12" s="31"/>
      <c r="J12" s="31"/>
      <c r="K12" s="31"/>
      <c r="O12" s="65" t="s">
        <v>121</v>
      </c>
      <c r="P12" s="66">
        <f>SUM(R4:R8)</f>
        <v>0</v>
      </c>
      <c r="Q12" s="64" t="s">
        <v>15</v>
      </c>
      <c r="R12" s="58" t="s">
        <v>119</v>
      </c>
      <c r="S12" s="31"/>
      <c r="T12" s="31"/>
      <c r="U12" s="31"/>
    </row>
    <row r="13" spans="3:21" ht="18" customHeight="1">
      <c r="C13" s="54"/>
      <c r="E13" s="31"/>
      <c r="F13" s="31"/>
      <c r="G13" s="57"/>
      <c r="H13" s="55"/>
      <c r="I13" s="31"/>
      <c r="J13" s="31"/>
      <c r="K13" s="31"/>
      <c r="O13" s="65" t="s">
        <v>122</v>
      </c>
      <c r="P13" s="67">
        <f>EmergencyTissueVolume-emergencyCarcassVolume</f>
        <v>0</v>
      </c>
      <c r="Q13" s="64" t="s">
        <v>15</v>
      </c>
      <c r="R13" s="31"/>
      <c r="S13" s="68">
        <v>27</v>
      </c>
      <c r="T13" s="31"/>
      <c r="U13" s="31"/>
    </row>
    <row r="14" spans="3:21" ht="15" customHeight="1">
      <c r="C14" s="57"/>
      <c r="E14" s="31"/>
      <c r="F14" s="31"/>
      <c r="G14" s="57"/>
      <c r="H14" s="55"/>
      <c r="I14" s="31"/>
      <c r="J14" s="31"/>
      <c r="K14" s="31"/>
      <c r="L14" s="51"/>
      <c r="O14" s="65" t="s">
        <v>122</v>
      </c>
      <c r="P14" s="69">
        <f>P13/cubicFtPerYard</f>
        <v>0</v>
      </c>
      <c r="Q14" s="35" t="s">
        <v>107</v>
      </c>
      <c r="S14" s="31"/>
      <c r="T14" s="31"/>
      <c r="U14" s="31"/>
    </row>
    <row r="15" spans="2:20" ht="15" customHeight="1">
      <c r="B15" s="38"/>
      <c r="C15" s="38"/>
      <c r="D15" s="39" t="s">
        <v>16</v>
      </c>
      <c r="E15" s="18">
        <v>5</v>
      </c>
      <c r="F15" s="70" t="s">
        <v>14</v>
      </c>
      <c r="G15" s="71">
        <f>IF(E15&gt;15,"Michigan regulations require animal tissue density &lt;= 15 lb per cubic ft","")</f>
      </c>
      <c r="I15" s="38"/>
      <c r="J15" s="38"/>
      <c r="K15" s="38"/>
      <c r="L15" s="38"/>
      <c r="N15" s="51"/>
      <c r="O15" s="72" t="s">
        <v>37</v>
      </c>
      <c r="T15" s="31"/>
    </row>
    <row r="16" spans="7:20" ht="15" customHeight="1">
      <c r="G16" s="38"/>
      <c r="M16" s="31"/>
      <c r="T16" s="31"/>
    </row>
    <row r="17" spans="2:18" ht="15" customHeight="1">
      <c r="B17" s="73" t="s">
        <v>192</v>
      </c>
      <c r="C17" s="38"/>
      <c r="D17" s="73"/>
      <c r="E17" s="38"/>
      <c r="F17" s="38"/>
      <c r="R17" s="31"/>
    </row>
    <row r="18" spans="2:20" ht="6.75" customHeight="1" thickBot="1">
      <c r="B18" s="74"/>
      <c r="C18" s="75"/>
      <c r="D18" s="76"/>
      <c r="E18" s="75"/>
      <c r="F18" s="75"/>
      <c r="G18" s="75"/>
      <c r="H18" s="75"/>
      <c r="I18" s="75"/>
      <c r="J18" s="75"/>
      <c r="K18" s="75"/>
      <c r="L18" s="77"/>
      <c r="N18" s="31"/>
      <c r="O18" s="31"/>
      <c r="P18" s="31"/>
      <c r="Q18" s="31"/>
      <c r="S18" s="31"/>
      <c r="T18" s="31"/>
    </row>
    <row r="19" spans="2:17" ht="15" customHeight="1">
      <c r="B19" s="78"/>
      <c r="C19" s="79"/>
      <c r="D19" s="80" t="s">
        <v>9</v>
      </c>
      <c r="E19" s="81"/>
      <c r="F19" s="82" t="s">
        <v>73</v>
      </c>
      <c r="G19" s="83" t="s">
        <v>8</v>
      </c>
      <c r="H19" s="83" t="s">
        <v>0</v>
      </c>
      <c r="I19" s="83" t="s">
        <v>1</v>
      </c>
      <c r="J19" s="84" t="s">
        <v>2</v>
      </c>
      <c r="K19" s="38"/>
      <c r="L19" s="85"/>
      <c r="O19" s="86" t="s">
        <v>95</v>
      </c>
      <c r="P19" s="87">
        <v>1694</v>
      </c>
      <c r="Q19" s="33" t="s">
        <v>89</v>
      </c>
    </row>
    <row r="20" spans="2:17" ht="13.5" customHeight="1">
      <c r="B20" s="78"/>
      <c r="C20" s="88"/>
      <c r="D20" s="89"/>
      <c r="E20" s="58" t="s">
        <v>79</v>
      </c>
      <c r="F20" s="21">
        <v>0</v>
      </c>
      <c r="G20" s="21">
        <v>0</v>
      </c>
      <c r="H20" s="21">
        <v>0</v>
      </c>
      <c r="I20" s="21">
        <v>0</v>
      </c>
      <c r="J20" s="26">
        <v>0</v>
      </c>
      <c r="K20" s="38"/>
      <c r="L20" s="85"/>
      <c r="O20" s="86" t="s">
        <v>92</v>
      </c>
      <c r="P20" s="90">
        <f>SwineCarcassWt/cubicFtPerYard</f>
        <v>62.74074074074074</v>
      </c>
      <c r="Q20" s="33" t="s">
        <v>14</v>
      </c>
    </row>
    <row r="21" spans="2:17" ht="13.5" customHeight="1">
      <c r="B21" s="78"/>
      <c r="C21" s="88"/>
      <c r="D21" s="89"/>
      <c r="E21" s="43" t="s">
        <v>66</v>
      </c>
      <c r="F21" s="19">
        <v>500</v>
      </c>
      <c r="G21" s="19">
        <v>450</v>
      </c>
      <c r="H21" s="19">
        <v>40</v>
      </c>
      <c r="I21" s="19">
        <v>125</v>
      </c>
      <c r="J21" s="20">
        <v>150</v>
      </c>
      <c r="K21" s="38"/>
      <c r="L21" s="85"/>
      <c r="O21" s="86" t="s">
        <v>93</v>
      </c>
      <c r="P21" s="69">
        <f>swineMortality/swineDensity</f>
        <v>0</v>
      </c>
      <c r="Q21" s="64" t="s">
        <v>15</v>
      </c>
    </row>
    <row r="22" spans="2:12" ht="13.5" customHeight="1" thickBot="1">
      <c r="B22" s="78"/>
      <c r="C22" s="91"/>
      <c r="D22" s="92"/>
      <c r="E22" s="93" t="s">
        <v>67</v>
      </c>
      <c r="F22" s="6">
        <f>F20*F21</f>
        <v>0</v>
      </c>
      <c r="G22" s="7">
        <f>G20*G21</f>
        <v>0</v>
      </c>
      <c r="H22" s="6">
        <f>H20*H21</f>
        <v>0</v>
      </c>
      <c r="I22" s="6">
        <f>I20*I21</f>
        <v>0</v>
      </c>
      <c r="J22" s="8">
        <f>J20*J21</f>
        <v>0</v>
      </c>
      <c r="K22" s="38"/>
      <c r="L22" s="85"/>
    </row>
    <row r="23" spans="2:12" ht="15" customHeight="1">
      <c r="B23" s="78"/>
      <c r="C23" s="38"/>
      <c r="D23" s="89"/>
      <c r="E23" s="39" t="s">
        <v>96</v>
      </c>
      <c r="F23" s="94">
        <f>SUM(F22:J22)</f>
        <v>0</v>
      </c>
      <c r="G23" s="95" t="s">
        <v>68</v>
      </c>
      <c r="H23" s="38"/>
      <c r="I23" s="38"/>
      <c r="J23" s="38"/>
      <c r="K23" s="38"/>
      <c r="L23" s="85"/>
    </row>
    <row r="24" spans="2:12" ht="4.5" customHeight="1">
      <c r="B24" s="96"/>
      <c r="C24" s="97"/>
      <c r="D24" s="98"/>
      <c r="E24" s="99"/>
      <c r="F24" s="100"/>
      <c r="G24" s="101"/>
      <c r="H24" s="97"/>
      <c r="I24" s="97"/>
      <c r="J24" s="97"/>
      <c r="K24" s="97"/>
      <c r="L24" s="102"/>
    </row>
    <row r="25" spans="4:7" ht="15" customHeight="1">
      <c r="D25" s="89"/>
      <c r="E25" s="39"/>
      <c r="F25" s="103"/>
      <c r="G25" s="70"/>
    </row>
    <row r="26" spans="2:7" ht="15" customHeight="1">
      <c r="B26" s="73" t="s">
        <v>193</v>
      </c>
      <c r="D26" s="89"/>
      <c r="E26" s="39"/>
      <c r="F26" s="103"/>
      <c r="G26" s="70"/>
    </row>
    <row r="27" spans="2:12" ht="5.25" customHeight="1" thickBot="1">
      <c r="B27" s="74"/>
      <c r="C27" s="75"/>
      <c r="D27" s="104"/>
      <c r="E27" s="105"/>
      <c r="F27" s="106"/>
      <c r="G27" s="107"/>
      <c r="H27" s="75"/>
      <c r="I27" s="75"/>
      <c r="J27" s="75"/>
      <c r="K27" s="75"/>
      <c r="L27" s="77"/>
    </row>
    <row r="28" spans="2:17" ht="15" customHeight="1">
      <c r="B28" s="78"/>
      <c r="C28" s="206" t="s">
        <v>9</v>
      </c>
      <c r="D28" s="207"/>
      <c r="E28" s="208"/>
      <c r="F28" s="108" t="s">
        <v>6</v>
      </c>
      <c r="G28" s="108" t="s">
        <v>4</v>
      </c>
      <c r="H28" s="108" t="s">
        <v>5</v>
      </c>
      <c r="I28" s="109" t="s">
        <v>7</v>
      </c>
      <c r="J28" s="38"/>
      <c r="K28" s="38"/>
      <c r="L28" s="85"/>
      <c r="O28" s="86" t="s">
        <v>90</v>
      </c>
      <c r="P28" s="110">
        <v>1761</v>
      </c>
      <c r="Q28" s="33" t="s">
        <v>89</v>
      </c>
    </row>
    <row r="29" spans="2:17" ht="15" customHeight="1">
      <c r="B29" s="78"/>
      <c r="C29" s="88"/>
      <c r="D29" s="89"/>
      <c r="E29" s="58" t="s">
        <v>79</v>
      </c>
      <c r="F29" s="21">
        <v>0</v>
      </c>
      <c r="G29" s="21">
        <v>0</v>
      </c>
      <c r="H29" s="21">
        <v>0</v>
      </c>
      <c r="I29" s="26">
        <v>0</v>
      </c>
      <c r="J29" s="38"/>
      <c r="K29" s="38"/>
      <c r="L29" s="85"/>
      <c r="O29" s="86" t="s">
        <v>92</v>
      </c>
      <c r="P29" s="90">
        <f>BovineCarcassWt/cubicFtPerYard</f>
        <v>65.22222222222223</v>
      </c>
      <c r="Q29" s="33" t="s">
        <v>14</v>
      </c>
    </row>
    <row r="30" spans="2:17" ht="15" customHeight="1">
      <c r="B30" s="78"/>
      <c r="C30" s="88"/>
      <c r="D30" s="89"/>
      <c r="E30" s="58" t="s">
        <v>66</v>
      </c>
      <c r="F30" s="19">
        <v>1200</v>
      </c>
      <c r="G30" s="19">
        <v>110</v>
      </c>
      <c r="H30" s="21">
        <v>600</v>
      </c>
      <c r="I30" s="20">
        <v>850</v>
      </c>
      <c r="J30" s="38"/>
      <c r="K30" s="38"/>
      <c r="L30" s="85"/>
      <c r="O30" s="86" t="s">
        <v>93</v>
      </c>
      <c r="P30" s="69">
        <f>bovineMortality/bovineDensity</f>
        <v>0</v>
      </c>
      <c r="Q30" s="64" t="s">
        <v>15</v>
      </c>
    </row>
    <row r="31" spans="2:12" ht="15" customHeight="1" thickBot="1">
      <c r="B31" s="78"/>
      <c r="C31" s="91"/>
      <c r="D31" s="92"/>
      <c r="E31" s="111" t="s">
        <v>67</v>
      </c>
      <c r="F31" s="112">
        <f>F29*F30</f>
        <v>0</v>
      </c>
      <c r="G31" s="112">
        <f>G29*G30</f>
        <v>0</v>
      </c>
      <c r="H31" s="112">
        <f>H29*H30</f>
        <v>0</v>
      </c>
      <c r="I31" s="113">
        <f>I29*I30</f>
        <v>0</v>
      </c>
      <c r="J31" s="38"/>
      <c r="K31" s="38"/>
      <c r="L31" s="85"/>
    </row>
    <row r="32" spans="2:12" ht="15" customHeight="1">
      <c r="B32" s="78"/>
      <c r="C32" s="38"/>
      <c r="D32" s="89"/>
      <c r="E32" s="39" t="s">
        <v>48</v>
      </c>
      <c r="F32" s="94">
        <f>SUM(F31:I31)</f>
        <v>0</v>
      </c>
      <c r="G32" s="70" t="s">
        <v>76</v>
      </c>
      <c r="H32" s="38"/>
      <c r="I32" s="38"/>
      <c r="J32" s="38"/>
      <c r="K32" s="38"/>
      <c r="L32" s="85"/>
    </row>
    <row r="33" spans="2:12" ht="6" customHeight="1">
      <c r="B33" s="96"/>
      <c r="C33" s="97"/>
      <c r="D33" s="98"/>
      <c r="E33" s="99"/>
      <c r="F33" s="114"/>
      <c r="G33" s="101"/>
      <c r="H33" s="97"/>
      <c r="I33" s="97"/>
      <c r="J33" s="97"/>
      <c r="K33" s="97"/>
      <c r="L33" s="102"/>
    </row>
    <row r="34" spans="4:7" ht="15" customHeight="1">
      <c r="D34" s="89"/>
      <c r="E34" s="39"/>
      <c r="F34" s="103"/>
      <c r="G34" s="70"/>
    </row>
    <row r="35" spans="2:7" ht="15" customHeight="1">
      <c r="B35" s="73" t="s">
        <v>194</v>
      </c>
      <c r="D35" s="89"/>
      <c r="E35" s="39"/>
      <c r="F35" s="103"/>
      <c r="G35" s="70"/>
    </row>
    <row r="36" spans="2:12" ht="5.25" customHeight="1" thickBot="1">
      <c r="B36" s="115"/>
      <c r="C36" s="75"/>
      <c r="D36" s="104"/>
      <c r="E36" s="105"/>
      <c r="F36" s="106"/>
      <c r="G36" s="107"/>
      <c r="H36" s="75"/>
      <c r="I36" s="75"/>
      <c r="J36" s="75"/>
      <c r="K36" s="75"/>
      <c r="L36" s="77"/>
    </row>
    <row r="37" spans="2:12" ht="15" customHeight="1">
      <c r="B37" s="78"/>
      <c r="C37" s="206" t="s">
        <v>9</v>
      </c>
      <c r="D37" s="207"/>
      <c r="E37" s="208"/>
      <c r="F37" s="108" t="s">
        <v>3</v>
      </c>
      <c r="G37" s="108" t="s">
        <v>10</v>
      </c>
      <c r="H37" s="109" t="s">
        <v>11</v>
      </c>
      <c r="I37" s="38"/>
      <c r="J37" s="38"/>
      <c r="K37" s="38"/>
      <c r="L37" s="85"/>
    </row>
    <row r="38" spans="2:17" ht="15" customHeight="1">
      <c r="B38" s="78"/>
      <c r="C38" s="88"/>
      <c r="D38" s="38"/>
      <c r="E38" s="58" t="s">
        <v>79</v>
      </c>
      <c r="F38" s="22">
        <v>0</v>
      </c>
      <c r="G38" s="22">
        <v>0</v>
      </c>
      <c r="H38" s="23">
        <v>0</v>
      </c>
      <c r="I38" s="38"/>
      <c r="J38" s="38"/>
      <c r="K38" s="38"/>
      <c r="L38" s="85"/>
      <c r="O38" s="86" t="s">
        <v>91</v>
      </c>
      <c r="P38" s="116">
        <f>5714/7.14</f>
        <v>800.280112044818</v>
      </c>
      <c r="Q38" s="33" t="s">
        <v>89</v>
      </c>
    </row>
    <row r="39" spans="2:17" ht="15" customHeight="1">
      <c r="B39" s="78"/>
      <c r="C39" s="88"/>
      <c r="D39" s="38"/>
      <c r="E39" s="39" t="s">
        <v>20</v>
      </c>
      <c r="F39" s="24">
        <v>6</v>
      </c>
      <c r="G39" s="24">
        <v>15</v>
      </c>
      <c r="H39" s="25">
        <v>600</v>
      </c>
      <c r="I39" s="38"/>
      <c r="J39" s="38"/>
      <c r="K39" s="38"/>
      <c r="L39" s="85"/>
      <c r="O39" s="86" t="s">
        <v>92</v>
      </c>
      <c r="P39" s="90">
        <f>PoultryCarcassWt/cubicFtPerYard</f>
        <v>29.640004149808075</v>
      </c>
      <c r="Q39" s="33" t="s">
        <v>14</v>
      </c>
    </row>
    <row r="40" spans="2:17" ht="15" customHeight="1" thickBot="1">
      <c r="B40" s="78"/>
      <c r="C40" s="91"/>
      <c r="D40" s="117"/>
      <c r="E40" s="111" t="s">
        <v>67</v>
      </c>
      <c r="F40" s="118">
        <f>F38*F39</f>
        <v>0</v>
      </c>
      <c r="G40" s="118">
        <f>G38*G39</f>
        <v>0</v>
      </c>
      <c r="H40" s="119">
        <f>H38*H39</f>
        <v>0</v>
      </c>
      <c r="I40" s="38"/>
      <c r="J40" s="38"/>
      <c r="K40" s="38"/>
      <c r="L40" s="85"/>
      <c r="O40" s="86" t="s">
        <v>93</v>
      </c>
      <c r="P40" s="69">
        <f>poultryMortality/poultryDensity</f>
        <v>0</v>
      </c>
      <c r="Q40" s="64" t="s">
        <v>15</v>
      </c>
    </row>
    <row r="41" spans="2:12" ht="15" customHeight="1">
      <c r="B41" s="78"/>
      <c r="C41" s="38"/>
      <c r="D41" s="38"/>
      <c r="E41" s="39" t="s">
        <v>48</v>
      </c>
      <c r="F41" s="94">
        <f>SUM(F40:H40)</f>
        <v>0</v>
      </c>
      <c r="G41" s="60" t="s">
        <v>76</v>
      </c>
      <c r="H41" s="38"/>
      <c r="I41" s="38"/>
      <c r="J41" s="38"/>
      <c r="K41" s="38"/>
      <c r="L41" s="85"/>
    </row>
    <row r="42" spans="2:12" ht="6.75" customHeight="1">
      <c r="B42" s="96"/>
      <c r="C42" s="97"/>
      <c r="D42" s="97"/>
      <c r="E42" s="99"/>
      <c r="F42" s="114"/>
      <c r="G42" s="101"/>
      <c r="H42" s="97"/>
      <c r="I42" s="97"/>
      <c r="J42" s="97"/>
      <c r="K42" s="97"/>
      <c r="L42" s="102"/>
    </row>
    <row r="43" spans="5:7" ht="15" customHeight="1">
      <c r="E43" s="39"/>
      <c r="F43" s="120"/>
      <c r="G43" s="70"/>
    </row>
    <row r="44" spans="2:7" ht="15" customHeight="1">
      <c r="B44" s="73" t="s">
        <v>195</v>
      </c>
      <c r="E44" s="39"/>
      <c r="F44" s="120"/>
      <c r="G44" s="70"/>
    </row>
    <row r="45" spans="2:12" ht="6" customHeight="1" thickBot="1">
      <c r="B45" s="115"/>
      <c r="C45" s="75"/>
      <c r="D45" s="75"/>
      <c r="E45" s="75"/>
      <c r="F45" s="75"/>
      <c r="G45" s="75"/>
      <c r="H45" s="75"/>
      <c r="I45" s="75"/>
      <c r="J45" s="75"/>
      <c r="K45" s="75"/>
      <c r="L45" s="77"/>
    </row>
    <row r="46" spans="2:17" ht="15" customHeight="1">
      <c r="B46" s="78"/>
      <c r="C46" s="206" t="s">
        <v>9</v>
      </c>
      <c r="D46" s="207"/>
      <c r="E46" s="208"/>
      <c r="F46" s="121" t="s">
        <v>12</v>
      </c>
      <c r="G46" s="109" t="s">
        <v>13</v>
      </c>
      <c r="H46" s="38"/>
      <c r="I46" s="38"/>
      <c r="J46" s="38"/>
      <c r="K46" s="38"/>
      <c r="L46" s="85"/>
      <c r="O46" s="86" t="s">
        <v>94</v>
      </c>
      <c r="P46" s="110">
        <v>1700</v>
      </c>
      <c r="Q46" s="33" t="s">
        <v>89</v>
      </c>
    </row>
    <row r="47" spans="2:17" ht="15" customHeight="1">
      <c r="B47" s="78"/>
      <c r="C47" s="88"/>
      <c r="D47" s="89"/>
      <c r="E47" s="58" t="s">
        <v>79</v>
      </c>
      <c r="F47" s="21">
        <v>0</v>
      </c>
      <c r="G47" s="26">
        <v>0</v>
      </c>
      <c r="H47" s="38"/>
      <c r="I47" s="38"/>
      <c r="J47" s="38"/>
      <c r="K47" s="38"/>
      <c r="L47" s="85"/>
      <c r="O47" s="86" t="s">
        <v>92</v>
      </c>
      <c r="P47" s="90">
        <f>EquineCarcassWt/cubicFtPerYard</f>
        <v>62.96296296296296</v>
      </c>
      <c r="Q47" s="33" t="s">
        <v>14</v>
      </c>
    </row>
    <row r="48" spans="2:17" ht="15" customHeight="1">
      <c r="B48" s="78"/>
      <c r="C48" s="88"/>
      <c r="D48" s="89"/>
      <c r="E48" s="58" t="s">
        <v>66</v>
      </c>
      <c r="F48" s="22">
        <v>1500</v>
      </c>
      <c r="G48" s="23">
        <v>200</v>
      </c>
      <c r="H48" s="38"/>
      <c r="I48" s="38"/>
      <c r="J48" s="38"/>
      <c r="K48" s="38"/>
      <c r="L48" s="85"/>
      <c r="O48" s="86" t="s">
        <v>93</v>
      </c>
      <c r="P48" s="69">
        <f>equineMortality/equineDensity</f>
        <v>0</v>
      </c>
      <c r="Q48" s="64" t="s">
        <v>15</v>
      </c>
    </row>
    <row r="49" spans="2:12" ht="15" customHeight="1" thickBot="1">
      <c r="B49" s="78"/>
      <c r="C49" s="91"/>
      <c r="D49" s="92"/>
      <c r="E49" s="111" t="s">
        <v>67</v>
      </c>
      <c r="F49" s="112">
        <f>F47*F48</f>
        <v>0</v>
      </c>
      <c r="G49" s="113">
        <f>G47*G48</f>
        <v>0</v>
      </c>
      <c r="H49" s="38"/>
      <c r="I49" s="38"/>
      <c r="J49" s="38"/>
      <c r="K49" s="38"/>
      <c r="L49" s="85"/>
    </row>
    <row r="50" spans="2:12" ht="15" customHeight="1">
      <c r="B50" s="78"/>
      <c r="C50" s="38"/>
      <c r="D50" s="89"/>
      <c r="E50" s="39" t="s">
        <v>48</v>
      </c>
      <c r="F50" s="94">
        <f>SUM(F49:G49)</f>
        <v>0</v>
      </c>
      <c r="G50" s="70" t="s">
        <v>68</v>
      </c>
      <c r="H50" s="38"/>
      <c r="I50" s="38"/>
      <c r="J50" s="38"/>
      <c r="K50" s="38"/>
      <c r="L50" s="85"/>
    </row>
    <row r="51" spans="2:12" ht="6" customHeight="1">
      <c r="B51" s="96"/>
      <c r="C51" s="97"/>
      <c r="D51" s="97"/>
      <c r="E51" s="97"/>
      <c r="F51" s="97"/>
      <c r="G51" s="97"/>
      <c r="H51" s="97"/>
      <c r="I51" s="97"/>
      <c r="J51" s="97"/>
      <c r="K51" s="97"/>
      <c r="L51" s="102"/>
    </row>
    <row r="52" spans="2:12" ht="16.5" customHeight="1">
      <c r="B52" s="38"/>
      <c r="C52" s="38"/>
      <c r="D52" s="38"/>
      <c r="E52" s="38"/>
      <c r="F52" s="38"/>
      <c r="G52" s="38"/>
      <c r="H52" s="38"/>
      <c r="I52" s="38"/>
      <c r="J52" s="38"/>
      <c r="K52" s="38"/>
      <c r="L52" s="38"/>
    </row>
    <row r="53" spans="1:8" ht="13.5" customHeight="1">
      <c r="A53" s="122"/>
      <c r="B53" s="73" t="s">
        <v>196</v>
      </c>
      <c r="D53" s="89"/>
      <c r="E53" s="39"/>
      <c r="F53" s="103"/>
      <c r="G53" s="70"/>
      <c r="H53" s="122"/>
    </row>
    <row r="54" spans="1:12" ht="13.5" customHeight="1" thickBot="1">
      <c r="A54" s="122"/>
      <c r="B54" s="74"/>
      <c r="C54" s="75"/>
      <c r="D54" s="104"/>
      <c r="E54" s="105"/>
      <c r="F54" s="106"/>
      <c r="G54" s="107"/>
      <c r="H54" s="123"/>
      <c r="I54" s="75"/>
      <c r="J54" s="75"/>
      <c r="K54" s="75"/>
      <c r="L54" s="77"/>
    </row>
    <row r="55" spans="1:17" ht="13.5" customHeight="1">
      <c r="A55" s="122"/>
      <c r="B55" s="78"/>
      <c r="C55" s="206" t="s">
        <v>9</v>
      </c>
      <c r="D55" s="207"/>
      <c r="E55" s="208"/>
      <c r="F55" s="108" t="s">
        <v>12</v>
      </c>
      <c r="G55" s="109" t="s">
        <v>98</v>
      </c>
      <c r="H55" s="124"/>
      <c r="I55" s="38"/>
      <c r="J55" s="38"/>
      <c r="K55" s="38"/>
      <c r="L55" s="85"/>
      <c r="O55" s="86" t="s">
        <v>112</v>
      </c>
      <c r="P55" s="110">
        <v>1400</v>
      </c>
      <c r="Q55" s="33" t="s">
        <v>89</v>
      </c>
    </row>
    <row r="56" spans="1:17" ht="13.5" customHeight="1">
      <c r="A56" s="122"/>
      <c r="B56" s="78"/>
      <c r="C56" s="88"/>
      <c r="D56" s="89"/>
      <c r="E56" s="58" t="s">
        <v>79</v>
      </c>
      <c r="F56" s="21">
        <v>0</v>
      </c>
      <c r="G56" s="26">
        <v>0</v>
      </c>
      <c r="H56" s="124"/>
      <c r="I56" s="38"/>
      <c r="J56" s="38"/>
      <c r="K56" s="38"/>
      <c r="L56" s="85"/>
      <c r="O56" s="86" t="s">
        <v>92</v>
      </c>
      <c r="P56" s="90">
        <f>RuminantCarcassWt/cubicFtPerYard</f>
        <v>51.851851851851855</v>
      </c>
      <c r="Q56" s="33" t="s">
        <v>14</v>
      </c>
    </row>
    <row r="57" spans="1:17" ht="13.5" customHeight="1">
      <c r="A57" s="122"/>
      <c r="B57" s="78"/>
      <c r="C57" s="88"/>
      <c r="D57" s="89"/>
      <c r="E57" s="58" t="s">
        <v>66</v>
      </c>
      <c r="F57" s="19">
        <v>1200</v>
      </c>
      <c r="G57" s="20">
        <v>110</v>
      </c>
      <c r="H57" s="124"/>
      <c r="I57" s="38"/>
      <c r="J57" s="38"/>
      <c r="K57" s="38"/>
      <c r="L57" s="85"/>
      <c r="O57" s="86" t="s">
        <v>93</v>
      </c>
      <c r="P57" s="69">
        <f>ruminantMortality/ruminantDensity</f>
        <v>0</v>
      </c>
      <c r="Q57" s="64" t="s">
        <v>15</v>
      </c>
    </row>
    <row r="58" spans="1:12" ht="13.5" customHeight="1" thickBot="1">
      <c r="A58" s="122"/>
      <c r="B58" s="78"/>
      <c r="C58" s="91"/>
      <c r="D58" s="92"/>
      <c r="E58" s="111" t="s">
        <v>67</v>
      </c>
      <c r="F58" s="112">
        <f>F56*F57</f>
        <v>0</v>
      </c>
      <c r="G58" s="113">
        <f>G56*G57</f>
        <v>0</v>
      </c>
      <c r="H58" s="124"/>
      <c r="I58" s="38"/>
      <c r="J58" s="38"/>
      <c r="K58" s="38"/>
      <c r="L58" s="85"/>
    </row>
    <row r="59" spans="1:12" ht="13.5" customHeight="1">
      <c r="A59" s="122"/>
      <c r="B59" s="78"/>
      <c r="C59" s="38"/>
      <c r="D59" s="89"/>
      <c r="E59" s="125" t="s">
        <v>48</v>
      </c>
      <c r="F59" s="126">
        <f>SUM(F58:I58)</f>
        <v>0</v>
      </c>
      <c r="G59" s="127" t="s">
        <v>76</v>
      </c>
      <c r="H59" s="124"/>
      <c r="I59" s="38"/>
      <c r="J59" s="38"/>
      <c r="K59" s="38"/>
      <c r="L59" s="85"/>
    </row>
    <row r="60" spans="1:12" ht="7.5" customHeight="1">
      <c r="A60" s="122"/>
      <c r="B60" s="96"/>
      <c r="C60" s="97"/>
      <c r="D60" s="98"/>
      <c r="E60" s="97"/>
      <c r="F60" s="97"/>
      <c r="G60" s="97"/>
      <c r="H60" s="128"/>
      <c r="I60" s="97"/>
      <c r="J60" s="97"/>
      <c r="K60" s="97"/>
      <c r="L60" s="102"/>
    </row>
    <row r="61" spans="2:6" ht="15.75" customHeight="1">
      <c r="B61" s="33"/>
      <c r="C61" s="89"/>
      <c r="D61" s="89"/>
      <c r="E61" s="129"/>
      <c r="F61" s="130"/>
    </row>
    <row r="62" spans="2:6" ht="13.5" customHeight="1">
      <c r="B62" s="73" t="s">
        <v>204</v>
      </c>
      <c r="C62" s="89"/>
      <c r="D62" s="89"/>
      <c r="E62" s="129"/>
      <c r="F62" s="130"/>
    </row>
    <row r="63" spans="2:12" ht="4.5" customHeight="1">
      <c r="B63" s="131"/>
      <c r="C63" s="104"/>
      <c r="D63" s="104"/>
      <c r="E63" s="132"/>
      <c r="F63" s="133"/>
      <c r="G63" s="75"/>
      <c r="H63" s="75"/>
      <c r="I63" s="75"/>
      <c r="J63" s="75"/>
      <c r="K63" s="75"/>
      <c r="L63" s="77"/>
    </row>
    <row r="64" spans="2:12" ht="13.5" customHeight="1">
      <c r="B64" s="78"/>
      <c r="C64" s="38"/>
      <c r="D64" s="38"/>
      <c r="E64" s="58" t="s">
        <v>113</v>
      </c>
      <c r="F64" s="134">
        <f>EmergencyFarmMortality</f>
        <v>0</v>
      </c>
      <c r="G64" s="60" t="s">
        <v>68</v>
      </c>
      <c r="H64" s="38"/>
      <c r="I64" s="38"/>
      <c r="J64" s="38"/>
      <c r="K64" s="38"/>
      <c r="L64" s="85"/>
    </row>
    <row r="65" spans="2:12" ht="13.5" customHeight="1">
      <c r="B65" s="78"/>
      <c r="C65" s="38"/>
      <c r="D65" s="38"/>
      <c r="E65" s="58" t="s">
        <v>206</v>
      </c>
      <c r="F65" s="135">
        <f>EmergencyTissueVolume</f>
        <v>0</v>
      </c>
      <c r="G65" s="34" t="s">
        <v>15</v>
      </c>
      <c r="H65" s="38"/>
      <c r="I65" s="38"/>
      <c r="J65" s="38"/>
      <c r="K65" s="38"/>
      <c r="L65" s="85"/>
    </row>
    <row r="66" spans="2:12" ht="13.5" customHeight="1">
      <c r="B66" s="136"/>
      <c r="C66" s="89"/>
      <c r="D66" s="89"/>
      <c r="E66" s="58" t="s">
        <v>207</v>
      </c>
      <c r="F66" s="135">
        <f>AmendmentVolume</f>
        <v>0</v>
      </c>
      <c r="G66" s="34" t="s">
        <v>115</v>
      </c>
      <c r="H66" s="38"/>
      <c r="I66" s="38"/>
      <c r="J66" s="38"/>
      <c r="K66" s="38"/>
      <c r="L66" s="85"/>
    </row>
    <row r="67" spans="2:12" ht="6" customHeight="1">
      <c r="B67" s="137"/>
      <c r="C67" s="98"/>
      <c r="D67" s="98"/>
      <c r="E67" s="138"/>
      <c r="F67" s="139"/>
      <c r="G67" s="97"/>
      <c r="H67" s="97"/>
      <c r="I67" s="97"/>
      <c r="J67" s="97"/>
      <c r="K67" s="97"/>
      <c r="L67" s="102"/>
    </row>
    <row r="68" spans="2:6" ht="13.5" customHeight="1">
      <c r="B68" s="33"/>
      <c r="C68" s="89"/>
      <c r="D68" s="89"/>
      <c r="E68" s="129"/>
      <c r="F68" s="130"/>
    </row>
    <row r="69" spans="2:9" ht="15.75">
      <c r="B69" s="73" t="s">
        <v>128</v>
      </c>
      <c r="D69" s="89"/>
      <c r="E69" s="38"/>
      <c r="F69" s="38"/>
      <c r="G69" s="38"/>
      <c r="I69" s="130"/>
    </row>
    <row r="70" spans="2:15" ht="14.25" customHeight="1">
      <c r="B70" s="115"/>
      <c r="C70" s="140" t="s">
        <v>36</v>
      </c>
      <c r="D70" s="104"/>
      <c r="E70" s="75"/>
      <c r="F70" s="75"/>
      <c r="G70" s="75"/>
      <c r="H70" s="75"/>
      <c r="I70" s="133"/>
      <c r="J70" s="75"/>
      <c r="K70" s="75"/>
      <c r="L70" s="77"/>
      <c r="O70" s="72" t="s">
        <v>35</v>
      </c>
    </row>
    <row r="71" spans="2:18" ht="14.25" customHeight="1">
      <c r="B71" s="78"/>
      <c r="C71" s="38"/>
      <c r="D71" s="141"/>
      <c r="E71" s="39" t="s">
        <v>21</v>
      </c>
      <c r="F71" s="27">
        <v>200</v>
      </c>
      <c r="G71" s="38" t="s">
        <v>19</v>
      </c>
      <c r="H71" s="38"/>
      <c r="I71" s="38"/>
      <c r="J71" s="38"/>
      <c r="K71" s="38"/>
      <c r="L71" s="85"/>
      <c r="P71" s="58" t="s">
        <v>84</v>
      </c>
      <c r="Q71" s="59">
        <f>(eBinWidth*eDepth*eBinLength)-(eBinWidth*TAN(RADIANS(30))*(eDepth^2)/2)</f>
        <v>79076.2395692966</v>
      </c>
      <c r="R71" s="64" t="s">
        <v>15</v>
      </c>
    </row>
    <row r="72" spans="2:18" ht="14.25" customHeight="1">
      <c r="B72" s="78"/>
      <c r="C72" s="38"/>
      <c r="D72" s="38"/>
      <c r="E72" s="39" t="s">
        <v>22</v>
      </c>
      <c r="F72" s="27">
        <v>50</v>
      </c>
      <c r="G72" s="38" t="s">
        <v>19</v>
      </c>
      <c r="H72" s="38"/>
      <c r="I72" s="38"/>
      <c r="J72" s="38"/>
      <c r="K72" s="38"/>
      <c r="L72" s="85"/>
      <c r="P72" s="39" t="s">
        <v>23</v>
      </c>
      <c r="Q72" s="59">
        <f>eBinLength*eBinWidth*eDepth</f>
        <v>80000</v>
      </c>
      <c r="R72" s="64" t="s">
        <v>15</v>
      </c>
    </row>
    <row r="73" spans="2:19" ht="14.25" customHeight="1">
      <c r="B73" s="78"/>
      <c r="C73" s="38"/>
      <c r="D73" s="38"/>
      <c r="E73" s="58" t="s">
        <v>74</v>
      </c>
      <c r="F73" s="27">
        <v>8</v>
      </c>
      <c r="G73" s="38" t="s">
        <v>19</v>
      </c>
      <c r="H73" s="38"/>
      <c r="I73" s="38"/>
      <c r="J73" s="38"/>
      <c r="K73" s="38"/>
      <c r="L73" s="85"/>
      <c r="P73" s="142" t="s">
        <v>80</v>
      </c>
      <c r="Q73" s="143">
        <f>EmergencyTissueVolume*100/eBinEffVolume</f>
        <v>0</v>
      </c>
      <c r="R73" s="35" t="s">
        <v>116</v>
      </c>
      <c r="S73" s="55"/>
    </row>
    <row r="74" spans="2:19" ht="14.25" customHeight="1">
      <c r="B74" s="78"/>
      <c r="C74" s="38"/>
      <c r="D74" s="38"/>
      <c r="E74" s="38"/>
      <c r="F74" s="38"/>
      <c r="G74" s="38"/>
      <c r="H74" s="38"/>
      <c r="I74" s="38"/>
      <c r="J74" s="38"/>
      <c r="K74" s="38"/>
      <c r="L74" s="85"/>
      <c r="S74" s="55"/>
    </row>
    <row r="75" spans="2:12" ht="14.25" customHeight="1">
      <c r="B75" s="78"/>
      <c r="C75" s="144" t="s">
        <v>18</v>
      </c>
      <c r="D75" s="38"/>
      <c r="E75" s="38"/>
      <c r="F75" s="38"/>
      <c r="G75" s="38"/>
      <c r="H75" s="38"/>
      <c r="I75" s="38"/>
      <c r="J75" s="38"/>
      <c r="K75" s="38"/>
      <c r="L75" s="85"/>
    </row>
    <row r="76" spans="2:12" ht="14.25" customHeight="1">
      <c r="B76" s="78"/>
      <c r="C76" s="71"/>
      <c r="D76" s="64"/>
      <c r="E76" s="58" t="s">
        <v>85</v>
      </c>
      <c r="F76" s="145">
        <f>eBinConstructionVolume</f>
        <v>80000</v>
      </c>
      <c r="G76" s="64" t="s">
        <v>15</v>
      </c>
      <c r="H76" s="38"/>
      <c r="I76" s="38"/>
      <c r="J76" s="38"/>
      <c r="K76" s="38"/>
      <c r="L76" s="146"/>
    </row>
    <row r="77" spans="2:12" ht="14.25" customHeight="1">
      <c r="B77" s="78"/>
      <c r="C77" s="71"/>
      <c r="D77" s="64"/>
      <c r="E77" s="58" t="s">
        <v>86</v>
      </c>
      <c r="F77" s="145">
        <f>eBinConstructionVolume/eDepth</f>
        <v>10000</v>
      </c>
      <c r="G77" s="64" t="s">
        <v>17</v>
      </c>
      <c r="H77" s="38"/>
      <c r="I77" s="38"/>
      <c r="J77" s="38"/>
      <c r="K77" s="38"/>
      <c r="L77" s="146"/>
    </row>
    <row r="78" spans="2:12" ht="14.25" customHeight="1">
      <c r="B78" s="78"/>
      <c r="C78" s="71"/>
      <c r="D78" s="64"/>
      <c r="E78" s="58" t="s">
        <v>216</v>
      </c>
      <c r="F78" s="135">
        <f>eBinEffVolume</f>
        <v>79076.2395692966</v>
      </c>
      <c r="G78" s="34" t="s">
        <v>15</v>
      </c>
      <c r="H78" s="38"/>
      <c r="I78" s="38"/>
      <c r="J78" s="38"/>
      <c r="K78" s="38"/>
      <c r="L78" s="146"/>
    </row>
    <row r="79" spans="2:12" ht="12.75">
      <c r="B79" s="96"/>
      <c r="C79" s="97"/>
      <c r="D79" s="147"/>
      <c r="E79" s="148" t="s">
        <v>217</v>
      </c>
      <c r="F79" s="149">
        <f>eBineCapacityUsed</f>
        <v>0</v>
      </c>
      <c r="G79" s="150" t="s">
        <v>116</v>
      </c>
      <c r="H79" s="151"/>
      <c r="I79" s="97"/>
      <c r="J79" s="97"/>
      <c r="K79" s="97"/>
      <c r="L79" s="102"/>
    </row>
    <row r="80" ht="13.5" customHeight="1"/>
    <row r="81" spans="2:15" ht="15.75">
      <c r="B81" s="152" t="s">
        <v>53</v>
      </c>
      <c r="O81" s="72" t="s">
        <v>83</v>
      </c>
    </row>
    <row r="82" spans="2:13" ht="12.75">
      <c r="B82" s="115"/>
      <c r="C82" s="140" t="s">
        <v>36</v>
      </c>
      <c r="D82" s="153"/>
      <c r="E82" s="154"/>
      <c r="F82" s="153"/>
      <c r="G82" s="153"/>
      <c r="H82" s="154"/>
      <c r="I82" s="75"/>
      <c r="J82" s="155"/>
      <c r="K82" s="75"/>
      <c r="L82" s="75"/>
      <c r="M82" s="77"/>
    </row>
    <row r="83" spans="2:18" ht="12.75">
      <c r="B83" s="78"/>
      <c r="C83" s="38"/>
      <c r="D83" s="38"/>
      <c r="E83" s="39" t="s">
        <v>33</v>
      </c>
      <c r="F83" s="18">
        <v>20</v>
      </c>
      <c r="G83" s="38" t="s">
        <v>19</v>
      </c>
      <c r="H83" s="38"/>
      <c r="J83" s="58"/>
      <c r="K83" s="59"/>
      <c r="L83" s="60"/>
      <c r="M83" s="85"/>
      <c r="P83" s="86" t="s">
        <v>138</v>
      </c>
      <c r="Q83" s="156">
        <f>ROUNDUP(EmergencyTissueVolume/(0.67*widthWindrow*heightMaterial),0)</f>
        <v>0</v>
      </c>
      <c r="R83" s="33" t="s">
        <v>19</v>
      </c>
    </row>
    <row r="84" spans="2:26" ht="12.75">
      <c r="B84" s="78"/>
      <c r="C84" s="38"/>
      <c r="D84" s="38"/>
      <c r="E84" s="39" t="s">
        <v>32</v>
      </c>
      <c r="F84" s="18">
        <v>8</v>
      </c>
      <c r="G84" s="38" t="s">
        <v>19</v>
      </c>
      <c r="H84" s="38"/>
      <c r="I84" s="38"/>
      <c r="J84" s="58"/>
      <c r="K84" s="157"/>
      <c r="L84" s="34"/>
      <c r="M84" s="85"/>
      <c r="S84" s="86" t="s">
        <v>139</v>
      </c>
      <c r="T84" s="156">
        <f>Q83+2*workingSpaceWidth</f>
        <v>40</v>
      </c>
      <c r="V84" s="33" t="s">
        <v>140</v>
      </c>
      <c r="W84" s="29">
        <f>ROUNDUP(widthWindrow+2*workingSpaceWidth,0)</f>
        <v>60</v>
      </c>
      <c r="Y84" s="33" t="s">
        <v>141</v>
      </c>
      <c r="Z84" s="29">
        <f>T84*W84</f>
        <v>2400</v>
      </c>
    </row>
    <row r="85" spans="2:26" ht="12.75">
      <c r="B85" s="78"/>
      <c r="C85" s="38"/>
      <c r="D85" s="38"/>
      <c r="E85" s="58" t="s">
        <v>75</v>
      </c>
      <c r="F85" s="27">
        <v>20</v>
      </c>
      <c r="G85" s="38" t="s">
        <v>19</v>
      </c>
      <c r="I85" s="38"/>
      <c r="J85" s="58"/>
      <c r="K85" s="157"/>
      <c r="L85" s="34"/>
      <c r="M85" s="85"/>
      <c r="Y85" s="33" t="s">
        <v>142</v>
      </c>
      <c r="Z85" s="158">
        <f>ROUNDUP(Z84/43560,1)</f>
        <v>0.1</v>
      </c>
    </row>
    <row r="86" spans="2:26" ht="9" customHeight="1">
      <c r="B86" s="78"/>
      <c r="C86" s="38"/>
      <c r="D86" s="38"/>
      <c r="E86" s="58"/>
      <c r="G86" s="38"/>
      <c r="I86" s="38"/>
      <c r="J86" s="58"/>
      <c r="K86" s="157"/>
      <c r="L86" s="34"/>
      <c r="M86" s="85"/>
      <c r="Q86" s="33" t="s">
        <v>132</v>
      </c>
      <c r="Y86" s="33"/>
      <c r="Z86" s="158"/>
    </row>
    <row r="87" spans="2:23" ht="14.25">
      <c r="B87" s="78"/>
      <c r="C87" s="159" t="str">
        <f>"All mortality could be composted using one windrow on a pad "&amp;T84&amp;" ft long X "&amp;W84&amp;" ft wide, i.e. "&amp;Z85&amp;" acres."</f>
        <v>All mortality could be composted using one windrow on a pad 40 ft long X 60 ft wide, i.e. 0.1 acres.</v>
      </c>
      <c r="D87" s="38"/>
      <c r="E87" s="130"/>
      <c r="F87" s="38"/>
      <c r="I87" s="38"/>
      <c r="K87" s="135"/>
      <c r="M87" s="85"/>
      <c r="P87" s="39" t="s">
        <v>77</v>
      </c>
      <c r="Q87" s="157">
        <f>0.67*windrow1Length*widthWindrow*heightMaterial</f>
        <v>27872.000000000004</v>
      </c>
      <c r="R87" s="70" t="s">
        <v>15</v>
      </c>
      <c r="S87" s="33" t="s">
        <v>133</v>
      </c>
      <c r="U87" s="33" t="s">
        <v>134</v>
      </c>
      <c r="W87" s="33" t="s">
        <v>135</v>
      </c>
    </row>
    <row r="88" spans="2:24" ht="14.25">
      <c r="B88" s="78"/>
      <c r="C88" s="38"/>
      <c r="D88" s="38"/>
      <c r="E88" s="130"/>
      <c r="F88" s="38"/>
      <c r="G88" s="39"/>
      <c r="I88" s="38"/>
      <c r="J88" s="58"/>
      <c r="K88" s="38"/>
      <c r="L88" s="38"/>
      <c r="M88" s="85"/>
      <c r="P88" s="58" t="s">
        <v>82</v>
      </c>
      <c r="Q88" s="160">
        <f>IF(effVolume1Windrow&gt;0,EmergencyTissueVolume/effVolume1Windrow,0)</f>
        <v>0</v>
      </c>
      <c r="S88" s="157">
        <f>0.67*windrow2Length*widthWindrow*heightMaterial</f>
        <v>38592</v>
      </c>
      <c r="T88" s="70" t="s">
        <v>15</v>
      </c>
      <c r="U88" s="157">
        <f>0.67*windrow3Length*widthWindrow*heightMaterial</f>
        <v>0</v>
      </c>
      <c r="V88" s="70" t="s">
        <v>15</v>
      </c>
      <c r="W88" s="157">
        <f>0.67*windrow4Length*widthWindrow*heightMaterial</f>
        <v>0</v>
      </c>
      <c r="X88" s="70" t="s">
        <v>15</v>
      </c>
    </row>
    <row r="89" spans="1:23" ht="12.75">
      <c r="A89" s="38"/>
      <c r="B89" s="161"/>
      <c r="C89" s="162" t="s">
        <v>114</v>
      </c>
      <c r="D89" s="163"/>
      <c r="E89" s="163"/>
      <c r="F89" s="164" t="s">
        <v>69</v>
      </c>
      <c r="G89" s="164"/>
      <c r="H89" s="164" t="s">
        <v>70</v>
      </c>
      <c r="I89" s="164"/>
      <c r="J89" s="164" t="s">
        <v>71</v>
      </c>
      <c r="K89" s="164"/>
      <c r="L89" s="164" t="s">
        <v>72</v>
      </c>
      <c r="M89" s="165"/>
      <c r="P89" s="65" t="s">
        <v>130</v>
      </c>
      <c r="Q89" s="166">
        <f>ROUNDUP(numWindrowsNeeded,0)</f>
        <v>0</v>
      </c>
      <c r="S89" s="160">
        <f>IF(effVolume2Windrow&gt;0,EmergencyTissueVolume/effVolume2Windrow,0)</f>
        <v>0</v>
      </c>
      <c r="U89" s="160">
        <f>IF(effVolume3Windrow&gt;0,EmergencyTissueVolume/effVolume3Windrow,0)</f>
        <v>0</v>
      </c>
      <c r="W89" s="160">
        <f>IF(effVolume4Windrow&gt;0,EmergencyTissueVolume/effVolume4Windrow,0)</f>
        <v>0</v>
      </c>
    </row>
    <row r="90" spans="1:23" ht="14.25">
      <c r="A90" s="38"/>
      <c r="B90" s="161"/>
      <c r="C90" s="163"/>
      <c r="D90" s="163"/>
      <c r="E90" s="167" t="s">
        <v>117</v>
      </c>
      <c r="F90" s="28">
        <v>300</v>
      </c>
      <c r="G90" s="168" t="s">
        <v>19</v>
      </c>
      <c r="H90" s="28">
        <v>400</v>
      </c>
      <c r="I90" s="168" t="s">
        <v>19</v>
      </c>
      <c r="J90" s="28">
        <v>0</v>
      </c>
      <c r="K90" s="168" t="s">
        <v>19</v>
      </c>
      <c r="L90" s="28">
        <v>0</v>
      </c>
      <c r="M90" s="169" t="s">
        <v>19</v>
      </c>
      <c r="P90" s="65" t="s">
        <v>131</v>
      </c>
      <c r="Q90" s="59">
        <f>effVolume1Windrow*numWindrowsRounded</f>
        <v>0</v>
      </c>
      <c r="R90" s="70" t="s">
        <v>15</v>
      </c>
      <c r="S90" s="166">
        <f>ROUNDUP(numWindrows2Needed,0)</f>
        <v>0</v>
      </c>
      <c r="U90" s="166">
        <f>ROUNDUP(numWindrows3Needed,0)</f>
        <v>0</v>
      </c>
      <c r="W90" s="166">
        <f>ROUNDUP(numWindrows4Needed,0)</f>
        <v>0</v>
      </c>
    </row>
    <row r="91" spans="1:24" ht="14.25">
      <c r="A91" s="38"/>
      <c r="B91" s="161"/>
      <c r="C91" s="163"/>
      <c r="D91" s="163"/>
      <c r="E91" s="167" t="s">
        <v>118</v>
      </c>
      <c r="F91" s="28">
        <v>0</v>
      </c>
      <c r="G91" s="168" t="s">
        <v>19</v>
      </c>
      <c r="H91" s="28">
        <v>0</v>
      </c>
      <c r="I91" s="168" t="s">
        <v>19</v>
      </c>
      <c r="J91" s="28">
        <v>0</v>
      </c>
      <c r="K91" s="168" t="s">
        <v>19</v>
      </c>
      <c r="L91" s="28">
        <v>0</v>
      </c>
      <c r="M91" s="169" t="s">
        <v>19</v>
      </c>
      <c r="S91" s="59">
        <f>effVolume2Windrow*numWindrows2Rounded</f>
        <v>0</v>
      </c>
      <c r="T91" s="70" t="s">
        <v>15</v>
      </c>
      <c r="U91" s="59">
        <f>effVolume3Windrow*numWindrows3Rounded</f>
        <v>0</v>
      </c>
      <c r="V91" s="70" t="s">
        <v>15</v>
      </c>
      <c r="W91" s="59">
        <f>effVolume4Windrow*numWindrows4Rounded</f>
        <v>0</v>
      </c>
      <c r="X91" s="70" t="s">
        <v>15</v>
      </c>
    </row>
    <row r="92" spans="1:13" ht="12.75">
      <c r="A92" s="38"/>
      <c r="B92" s="161"/>
      <c r="C92" s="163"/>
      <c r="D92" s="163"/>
      <c r="E92" s="163"/>
      <c r="F92" s="163"/>
      <c r="G92" s="163"/>
      <c r="H92" s="163"/>
      <c r="I92" s="163"/>
      <c r="J92" s="163"/>
      <c r="K92" s="163"/>
      <c r="L92" s="163"/>
      <c r="M92" s="165"/>
    </row>
    <row r="93" spans="1:24" ht="12.75">
      <c r="A93" s="38"/>
      <c r="B93" s="161"/>
      <c r="C93" s="163"/>
      <c r="D93" s="163"/>
      <c r="E93" s="167" t="s">
        <v>136</v>
      </c>
      <c r="F93" s="170">
        <f>IF(F90&gt;0,F90-2*workingSpaceWidth,0)</f>
        <v>260</v>
      </c>
      <c r="G93" s="171" t="s">
        <v>19</v>
      </c>
      <c r="H93" s="170">
        <f>IF(H90&gt;0,H90-2*workingSpaceWidth,0)</f>
        <v>360</v>
      </c>
      <c r="I93" s="171" t="s">
        <v>19</v>
      </c>
      <c r="J93" s="170">
        <f>IF(J90&gt;0,J90-2*workingSpaceWidth,0)</f>
        <v>0</v>
      </c>
      <c r="K93" s="171" t="s">
        <v>19</v>
      </c>
      <c r="L93" s="170">
        <f>IF(L90&gt;0,L90-2*workingSpaceWidth,0)</f>
        <v>0</v>
      </c>
      <c r="M93" s="172" t="s">
        <v>19</v>
      </c>
      <c r="O93" s="33" t="s">
        <v>129</v>
      </c>
      <c r="S93" s="38"/>
      <c r="T93" s="173"/>
      <c r="U93" s="38"/>
      <c r="V93" s="38"/>
      <c r="W93" s="38"/>
      <c r="X93" s="38"/>
    </row>
    <row r="94" spans="1:13" ht="12.75">
      <c r="A94" s="38"/>
      <c r="B94" s="161"/>
      <c r="C94" s="163"/>
      <c r="D94" s="163"/>
      <c r="E94" s="167" t="s">
        <v>97</v>
      </c>
      <c r="F94" s="174">
        <f>numWindrowsNeeded</f>
        <v>0</v>
      </c>
      <c r="G94" s="171"/>
      <c r="H94" s="174">
        <f>numWindrows2Needed</f>
        <v>0</v>
      </c>
      <c r="I94" s="171"/>
      <c r="J94" s="174">
        <f>numWindrows3Needed</f>
        <v>0</v>
      </c>
      <c r="K94" s="171"/>
      <c r="L94" s="174">
        <f>numWindrows4Needed</f>
        <v>0</v>
      </c>
      <c r="M94" s="172"/>
    </row>
    <row r="95" spans="1:24" ht="12.75">
      <c r="A95" s="124"/>
      <c r="B95" s="161"/>
      <c r="C95" s="163"/>
      <c r="D95" s="163"/>
      <c r="E95" s="167" t="s">
        <v>137</v>
      </c>
      <c r="F95" s="175">
        <f>IF(numWindrowsRounded&gt;0,F102/(F100/numWindrowsRounded),0)</f>
        <v>0</v>
      </c>
      <c r="G95" s="176"/>
      <c r="H95" s="175">
        <f>IF(numWindrows2Rounded&gt;0,H102/(H100/numWindrows2Rounded),0)</f>
        <v>0</v>
      </c>
      <c r="I95" s="176"/>
      <c r="J95" s="175">
        <f>IF(numWindrows3Rounded&gt;0,J102/(J100/numWindrows3Rounded),0)</f>
        <v>0</v>
      </c>
      <c r="K95" s="176"/>
      <c r="L95" s="175">
        <f>IF(numWindrows4Rounded&gt;0,L102/(L100/numWindrows4Rounded),0)</f>
        <v>0</v>
      </c>
      <c r="M95" s="177"/>
      <c r="S95" s="38"/>
      <c r="T95" s="173"/>
      <c r="U95" s="38"/>
      <c r="V95" s="38"/>
      <c r="W95" s="38"/>
      <c r="X95" s="38"/>
    </row>
    <row r="96" spans="1:26" s="122" customFormat="1" ht="12.75">
      <c r="A96" s="124"/>
      <c r="B96" s="161"/>
      <c r="C96" s="163"/>
      <c r="D96" s="163"/>
      <c r="E96" s="167" t="s">
        <v>213</v>
      </c>
      <c r="F96" s="175">
        <f>IF($F$94&gt;F95,$F$94-F95,0)</f>
        <v>0</v>
      </c>
      <c r="G96" s="178"/>
      <c r="H96" s="175">
        <f>IF($H$94&gt;H95,$H$94-H95,0)</f>
        <v>0</v>
      </c>
      <c r="I96" s="178"/>
      <c r="J96" s="175">
        <f>IF($J$94&gt;J95,$J$94-J95,0)</f>
        <v>0</v>
      </c>
      <c r="K96" s="178"/>
      <c r="L96" s="175">
        <f>IF($L$94&gt;L95,$L$94-L95,0)</f>
        <v>0</v>
      </c>
      <c r="M96" s="179"/>
      <c r="N96" s="29"/>
      <c r="O96" s="29"/>
      <c r="P96" s="29"/>
      <c r="Q96" s="29"/>
      <c r="R96" s="29"/>
      <c r="S96" s="38"/>
      <c r="T96" s="180"/>
      <c r="U96" s="38"/>
      <c r="V96" s="38"/>
      <c r="W96" s="38"/>
      <c r="X96" s="38"/>
      <c r="Y96" s="29"/>
      <c r="Z96" s="29"/>
    </row>
    <row r="97" spans="2:13" ht="12.75">
      <c r="B97" s="161"/>
      <c r="C97" s="163"/>
      <c r="D97" s="163"/>
      <c r="E97" s="167" t="s">
        <v>208</v>
      </c>
      <c r="F97" s="181">
        <f>(F102/Windrow1PadArea)*100</f>
        <v>0</v>
      </c>
      <c r="G97" s="182" t="s">
        <v>123</v>
      </c>
      <c r="H97" s="181">
        <f>(H102/H100)*100</f>
        <v>0</v>
      </c>
      <c r="I97" s="182" t="s">
        <v>123</v>
      </c>
      <c r="J97" s="181">
        <f>(J102/J100)*100</f>
        <v>0</v>
      </c>
      <c r="K97" s="182" t="s">
        <v>123</v>
      </c>
      <c r="L97" s="181">
        <f>(L102/L100)*100</f>
        <v>0</v>
      </c>
      <c r="M97" s="183" t="s">
        <v>123</v>
      </c>
    </row>
    <row r="98" spans="1:24" ht="12.75">
      <c r="A98" s="38"/>
      <c r="B98" s="161"/>
      <c r="C98" s="163"/>
      <c r="D98" s="163"/>
      <c r="E98" s="167" t="s">
        <v>209</v>
      </c>
      <c r="F98" s="170">
        <f>ROUNDUP(Windrow1PadArea/(windrow1Length+2*workingSpaceWidth),0)</f>
        <v>20</v>
      </c>
      <c r="G98" s="184" t="s">
        <v>19</v>
      </c>
      <c r="H98" s="170">
        <f>ROUNDUP(Windrow2PadArea/(windrow2Length+2*workingSpaceWidth),0)</f>
        <v>20</v>
      </c>
      <c r="I98" s="184" t="s">
        <v>19</v>
      </c>
      <c r="J98" s="170">
        <f>ROUNDUP(Windrow3PadArea/(windrow3Length+2*workingSpaceWidth),0)</f>
        <v>20</v>
      </c>
      <c r="K98" s="184" t="s">
        <v>19</v>
      </c>
      <c r="L98" s="170">
        <f>ROUNDUP(Windrow4PadArea/(windrow4Length+2*workingSpaceWidth),0)</f>
        <v>20</v>
      </c>
      <c r="M98" s="185" t="s">
        <v>19</v>
      </c>
      <c r="O98" s="186"/>
      <c r="S98" s="38"/>
      <c r="T98" s="173"/>
      <c r="U98" s="38"/>
      <c r="V98" s="38"/>
      <c r="W98" s="38"/>
      <c r="X98" s="38"/>
    </row>
    <row r="99" spans="1:24" ht="14.25">
      <c r="A99" s="38"/>
      <c r="B99" s="161"/>
      <c r="C99" s="163"/>
      <c r="D99" s="163"/>
      <c r="E99" s="167" t="s">
        <v>87</v>
      </c>
      <c r="F99" s="170">
        <f>((workingSpaceWidth*(numWindrowsRounded+1))*(windrow1Length+(2*workingSpaceWidth)))+((widthWindrow*workingSpaceWidth)*(numWindrowsRounded*2))</f>
        <v>6000</v>
      </c>
      <c r="G99" s="178" t="s">
        <v>17</v>
      </c>
      <c r="H99" s="170">
        <f>((workingSpaceWidth*(numWindrows2Rounded+1))*(windrow2Length+(2*workingSpaceWidth)))+((widthWindrow*workingSpaceWidth)*(numWindrows2Rounded*2))</f>
        <v>8000</v>
      </c>
      <c r="I99" s="178" t="s">
        <v>17</v>
      </c>
      <c r="J99" s="170">
        <f>((workingSpaceWidth*(numWindrows3Rounded+1))*(windrow3Length+(2*workingSpaceWidth)))+((widthWindrow*workingSpaceWidth)*(numWindrows3Rounded*2))</f>
        <v>800</v>
      </c>
      <c r="K99" s="178" t="s">
        <v>17</v>
      </c>
      <c r="L99" s="170">
        <f>((workingSpaceWidth*(numWindrows4Rounded+1))*(windrow4Length+(2*workingSpaceWidth)))+((widthWindrow*workingSpaceWidth)*(numWindrows4Rounded*2))</f>
        <v>800</v>
      </c>
      <c r="M99" s="179" t="s">
        <v>17</v>
      </c>
      <c r="O99" s="33"/>
      <c r="S99" s="38"/>
      <c r="T99" s="173"/>
      <c r="U99" s="38"/>
      <c r="V99" s="38"/>
      <c r="W99" s="38"/>
      <c r="X99" s="38"/>
    </row>
    <row r="100" spans="1:24" ht="14.25">
      <c r="A100" s="38"/>
      <c r="B100" s="161"/>
      <c r="C100" s="163"/>
      <c r="D100" s="163"/>
      <c r="E100" s="167" t="s">
        <v>88</v>
      </c>
      <c r="F100" s="170">
        <f>(numWindrowsRounded*windrow1Length*widthWindrow)+Windrow1ApronArea</f>
        <v>6000</v>
      </c>
      <c r="G100" s="178" t="s">
        <v>17</v>
      </c>
      <c r="H100" s="170">
        <f>(numWindrows2Rounded*windrow2Length*widthWindrow)+Windrow2ApronArea</f>
        <v>8000</v>
      </c>
      <c r="I100" s="178" t="s">
        <v>17</v>
      </c>
      <c r="J100" s="170">
        <f>(numWindrows3Rounded*windrow3Length*widthWindrow)+Windrow3ApronArea</f>
        <v>800</v>
      </c>
      <c r="K100" s="178" t="s">
        <v>17</v>
      </c>
      <c r="L100" s="170">
        <f>(numWindrows4Rounded*windrow4Length*widthWindrow)+Windrow4ApronArea</f>
        <v>800</v>
      </c>
      <c r="M100" s="179" t="s">
        <v>17</v>
      </c>
      <c r="S100" s="38"/>
      <c r="T100" s="173"/>
      <c r="U100" s="38"/>
      <c r="V100" s="38"/>
      <c r="W100" s="38"/>
      <c r="X100" s="38"/>
    </row>
    <row r="101" spans="2:13" ht="14.25">
      <c r="B101" s="161"/>
      <c r="C101" s="168"/>
      <c r="D101" s="187"/>
      <c r="E101" s="167" t="s">
        <v>214</v>
      </c>
      <c r="F101" s="188">
        <f>Q90</f>
        <v>0</v>
      </c>
      <c r="G101" s="178" t="s">
        <v>15</v>
      </c>
      <c r="H101" s="188">
        <f>S91</f>
        <v>0</v>
      </c>
      <c r="I101" s="178" t="s">
        <v>15</v>
      </c>
      <c r="J101" s="188">
        <f>U91</f>
        <v>0</v>
      </c>
      <c r="K101" s="178" t="s">
        <v>15</v>
      </c>
      <c r="L101" s="188">
        <f>W91</f>
        <v>0</v>
      </c>
      <c r="M101" s="179" t="s">
        <v>15</v>
      </c>
    </row>
    <row r="102" spans="1:24" ht="14.25">
      <c r="A102" s="124"/>
      <c r="B102" s="161"/>
      <c r="C102" s="168"/>
      <c r="D102" s="187"/>
      <c r="E102" s="167" t="s">
        <v>215</v>
      </c>
      <c r="F102" s="188">
        <f>F90*F91</f>
        <v>0</v>
      </c>
      <c r="G102" s="178" t="s">
        <v>17</v>
      </c>
      <c r="H102" s="188">
        <f>H90*H91</f>
        <v>0</v>
      </c>
      <c r="I102" s="178" t="s">
        <v>17</v>
      </c>
      <c r="J102" s="188">
        <f>J90*J91</f>
        <v>0</v>
      </c>
      <c r="K102" s="178" t="s">
        <v>17</v>
      </c>
      <c r="L102" s="188">
        <f>L90*L91</f>
        <v>0</v>
      </c>
      <c r="M102" s="179" t="s">
        <v>17</v>
      </c>
      <c r="S102" s="38"/>
      <c r="T102" s="180"/>
      <c r="U102" s="38"/>
      <c r="V102" s="38"/>
      <c r="W102" s="38"/>
      <c r="X102" s="38"/>
    </row>
    <row r="103" spans="1:26" s="122" customFormat="1" ht="12.75">
      <c r="A103" s="124"/>
      <c r="B103" s="189"/>
      <c r="C103" s="190"/>
      <c r="D103" s="190"/>
      <c r="E103" s="190"/>
      <c r="F103" s="190"/>
      <c r="G103" s="190"/>
      <c r="H103" s="190"/>
      <c r="I103" s="190"/>
      <c r="J103" s="190"/>
      <c r="K103" s="190"/>
      <c r="L103" s="190"/>
      <c r="M103" s="191"/>
      <c r="N103" s="29"/>
      <c r="S103" s="29"/>
      <c r="T103" s="29"/>
      <c r="U103" s="29"/>
      <c r="V103" s="29"/>
      <c r="W103" s="29"/>
      <c r="X103" s="29"/>
      <c r="Y103" s="29"/>
      <c r="Z103" s="29"/>
    </row>
    <row r="104" spans="1:3" s="122" customFormat="1" ht="12.75">
      <c r="A104" s="124"/>
      <c r="B104" s="124"/>
      <c r="C104" s="124"/>
    </row>
    <row r="105" spans="1:3" s="122" customFormat="1" ht="6.75" customHeight="1">
      <c r="A105" s="124"/>
      <c r="B105" s="124"/>
      <c r="C105" s="124"/>
    </row>
    <row r="106" spans="1:3" s="122" customFormat="1" ht="12.75">
      <c r="A106" s="124"/>
      <c r="B106" s="124"/>
      <c r="C106" s="124"/>
    </row>
    <row r="107" s="122" customFormat="1" ht="12.75"/>
    <row r="108" s="122" customFormat="1" ht="12.75"/>
    <row r="109" s="122" customFormat="1" ht="12.75"/>
    <row r="110" s="122" customFormat="1" ht="12.75"/>
    <row r="111" s="122" customFormat="1" ht="12.75"/>
    <row r="112" s="122" customFormat="1" ht="12.75"/>
    <row r="113" s="122" customFormat="1" ht="12.75"/>
    <row r="114" s="122" customFormat="1" ht="12.75"/>
    <row r="115" s="122" customFormat="1" ht="12.75"/>
    <row r="116" s="122" customFormat="1" ht="12.75"/>
    <row r="117" s="122" customFormat="1" ht="12.75"/>
    <row r="118" s="122" customFormat="1" ht="12.75"/>
    <row r="119" s="122" customFormat="1" ht="12.75"/>
    <row r="120" s="122" customFormat="1" ht="12.75"/>
    <row r="121" s="122" customFormat="1" ht="12.75"/>
    <row r="122" s="122" customFormat="1" ht="12.75"/>
    <row r="123" s="122" customFormat="1" ht="12.75"/>
    <row r="124" s="122" customFormat="1" ht="12.75"/>
    <row r="125" s="122" customFormat="1" ht="12.75"/>
    <row r="126" s="122" customFormat="1" ht="12.75"/>
    <row r="127" s="122" customFormat="1" ht="12.75"/>
    <row r="128" s="122" customFormat="1" ht="12.75"/>
    <row r="129" s="122" customFormat="1" ht="12.75"/>
    <row r="130" s="122" customFormat="1" ht="12.75"/>
    <row r="131" s="122" customFormat="1" ht="12.75"/>
    <row r="132" s="122" customFormat="1" ht="12.75"/>
    <row r="133" s="122" customFormat="1" ht="12.75"/>
    <row r="134" s="122" customFormat="1" ht="12.75"/>
    <row r="135" s="122" customFormat="1" ht="12.75"/>
    <row r="136" s="122" customFormat="1" ht="12.75"/>
    <row r="137" s="122" customFormat="1" ht="12.75"/>
    <row r="138" s="122" customFormat="1" ht="12.75"/>
    <row r="139" s="122" customFormat="1" ht="12.75"/>
    <row r="140" s="122" customFormat="1" ht="12.75"/>
    <row r="141" spans="1:13" s="122" customFormat="1" ht="12.75">
      <c r="A141" s="29"/>
      <c r="B141" s="29"/>
      <c r="C141" s="29"/>
      <c r="D141" s="29"/>
      <c r="E141" s="29"/>
      <c r="F141" s="29"/>
      <c r="G141" s="29"/>
      <c r="H141" s="29"/>
      <c r="I141" s="29"/>
      <c r="J141" s="29"/>
      <c r="K141" s="29"/>
      <c r="L141" s="29"/>
      <c r="M141" s="29"/>
    </row>
    <row r="142" spans="1:13" s="122" customFormat="1" ht="12.75">
      <c r="A142" s="29"/>
      <c r="B142" s="29"/>
      <c r="C142" s="29"/>
      <c r="D142" s="29"/>
      <c r="E142" s="29"/>
      <c r="F142" s="29"/>
      <c r="G142" s="29"/>
      <c r="H142" s="29"/>
      <c r="I142" s="29"/>
      <c r="J142" s="29"/>
      <c r="K142" s="29"/>
      <c r="L142" s="29"/>
      <c r="M142" s="29"/>
    </row>
    <row r="143" spans="14:26" ht="12.75">
      <c r="N143" s="122"/>
      <c r="O143" s="122"/>
      <c r="P143" s="122"/>
      <c r="Q143" s="122"/>
      <c r="R143" s="122"/>
      <c r="S143" s="122"/>
      <c r="T143" s="122"/>
      <c r="U143" s="122"/>
      <c r="V143" s="122"/>
      <c r="W143" s="122"/>
      <c r="X143" s="122"/>
      <c r="Y143" s="122"/>
      <c r="Z143" s="122"/>
    </row>
    <row r="144" spans="14:26" ht="12.75">
      <c r="N144" s="122"/>
      <c r="S144" s="122"/>
      <c r="T144" s="122"/>
      <c r="U144" s="122"/>
      <c r="V144" s="122"/>
      <c r="W144" s="122"/>
      <c r="X144" s="122"/>
      <c r="Y144" s="122"/>
      <c r="Z144" s="122"/>
    </row>
  </sheetData>
  <sheetProtection password="B5B1" sheet="1" objects="1" scenarios="1" selectLockedCells="1"/>
  <mergeCells count="11">
    <mergeCell ref="C46:E46"/>
    <mergeCell ref="D3:E3"/>
    <mergeCell ref="D6:E6"/>
    <mergeCell ref="C55:E55"/>
    <mergeCell ref="H3:J3"/>
    <mergeCell ref="D4:E4"/>
    <mergeCell ref="H4:J4"/>
    <mergeCell ref="D5:E5"/>
    <mergeCell ref="H5:J5"/>
    <mergeCell ref="C28:E28"/>
    <mergeCell ref="C37:E37"/>
  </mergeCells>
  <conditionalFormatting sqref="E15">
    <cfRule type="cellIs" priority="1" dxfId="0" operator="between" stopIfTrue="1">
      <formula>0</formula>
      <formula>15</formula>
    </cfRule>
    <cfRule type="cellIs" priority="2" dxfId="0" operator="notBetween" stopIfTrue="1">
      <formula>0</formula>
      <formula>15</formula>
    </cfRule>
  </conditionalFormatting>
  <printOptions/>
  <pageMargins left="0.5" right="0.5" top="0.5" bottom="0.5" header="0" footer="0"/>
  <pageSetup fitToHeight="0" fitToWidth="1" horizontalDpi="300" verticalDpi="300" orientation="portrait" scale="65" r:id="rId4"/>
  <ignoredErrors>
    <ignoredError sqref="F99:F101" evalError="1"/>
  </ignoredErrors>
  <drawing r:id="rId3"/>
  <legacyDrawing r:id="rId2"/>
</worksheet>
</file>

<file path=xl/worksheets/sheet3.xml><?xml version="1.0" encoding="utf-8"?>
<worksheet xmlns="http://schemas.openxmlformats.org/spreadsheetml/2006/main" xmlns:r="http://schemas.openxmlformats.org/officeDocument/2006/relationships">
  <sheetPr codeName="Sheet4"/>
  <dimension ref="B3:D34"/>
  <sheetViews>
    <sheetView zoomScalePageLayoutView="0" workbookViewId="0" topLeftCell="A4">
      <selection activeCell="D30" sqref="D30"/>
    </sheetView>
  </sheetViews>
  <sheetFormatPr defaultColWidth="9.140625" defaultRowHeight="12.75"/>
  <cols>
    <col min="1" max="1" width="15.00390625" style="0" customWidth="1"/>
    <col min="2" max="3" width="13.421875" style="0" customWidth="1"/>
    <col min="4" max="4" width="10.140625" style="0" customWidth="1"/>
  </cols>
  <sheetData>
    <row r="3" ht="12.75">
      <c r="B3" s="1" t="s">
        <v>41</v>
      </c>
    </row>
    <row r="4" ht="12.75">
      <c r="B4" s="3" t="s">
        <v>49</v>
      </c>
    </row>
    <row r="5" ht="12.75">
      <c r="B5" t="s">
        <v>28</v>
      </c>
    </row>
    <row r="6" ht="12.75">
      <c r="B6" t="s">
        <v>29</v>
      </c>
    </row>
    <row r="7" ht="12.75">
      <c r="B7" t="s">
        <v>30</v>
      </c>
    </row>
    <row r="8" ht="12.75">
      <c r="B8" t="s">
        <v>31</v>
      </c>
    </row>
    <row r="9" ht="12.75">
      <c r="B9" t="s">
        <v>38</v>
      </c>
    </row>
    <row r="11" spans="2:3" ht="12.75">
      <c r="B11" s="1" t="s">
        <v>42</v>
      </c>
      <c r="C11" s="2"/>
    </row>
    <row r="12" spans="2:3" ht="12.75">
      <c r="B12" t="s">
        <v>43</v>
      </c>
      <c r="C12" s="2"/>
    </row>
    <row r="13" spans="2:3" ht="12.75">
      <c r="B13" t="s">
        <v>45</v>
      </c>
      <c r="C13" s="2"/>
    </row>
    <row r="14" ht="12.75">
      <c r="B14" t="s">
        <v>34</v>
      </c>
    </row>
    <row r="15" ht="12.75">
      <c r="B15" t="s">
        <v>46</v>
      </c>
    </row>
    <row r="16" ht="12.75">
      <c r="B16" t="s">
        <v>44</v>
      </c>
    </row>
    <row r="19" ht="12.75">
      <c r="B19" s="1" t="s">
        <v>64</v>
      </c>
    </row>
    <row r="20" spans="3:4" ht="12.75">
      <c r="C20" s="2" t="s">
        <v>40</v>
      </c>
      <c r="D20">
        <v>1</v>
      </c>
    </row>
    <row r="21" spans="3:4" ht="12.75">
      <c r="C21" s="2" t="s">
        <v>39</v>
      </c>
      <c r="D21">
        <v>2</v>
      </c>
    </row>
    <row r="22" spans="3:4" ht="12.75">
      <c r="C22" s="2" t="s">
        <v>51</v>
      </c>
      <c r="D22">
        <v>5</v>
      </c>
    </row>
    <row r="23" spans="3:4" ht="12.75">
      <c r="C23" s="2" t="s">
        <v>52</v>
      </c>
      <c r="D23">
        <v>6</v>
      </c>
    </row>
    <row r="26" ht="12.75">
      <c r="B26" s="1" t="s">
        <v>65</v>
      </c>
    </row>
    <row r="27" spans="3:4" ht="12.75">
      <c r="C27" s="2" t="s">
        <v>40</v>
      </c>
      <c r="D27">
        <v>1</v>
      </c>
    </row>
    <row r="29" spans="3:4" ht="12.75">
      <c r="C29" s="5" t="s">
        <v>104</v>
      </c>
      <c r="D29" s="5" t="s">
        <v>105</v>
      </c>
    </row>
    <row r="30" spans="3:4" ht="12.75">
      <c r="C30" s="4" t="s">
        <v>99</v>
      </c>
      <c r="D30" t="b">
        <v>1</v>
      </c>
    </row>
    <row r="31" spans="3:4" ht="12.75">
      <c r="C31" s="4" t="s">
        <v>100</v>
      </c>
      <c r="D31" t="b">
        <v>1</v>
      </c>
    </row>
    <row r="32" spans="3:4" ht="12.75">
      <c r="C32" s="4" t="s">
        <v>101</v>
      </c>
      <c r="D32" t="b">
        <v>1</v>
      </c>
    </row>
    <row r="33" spans="3:4" ht="12.75">
      <c r="C33" s="4" t="s">
        <v>102</v>
      </c>
      <c r="D33" t="b">
        <v>1</v>
      </c>
    </row>
    <row r="34" spans="3:4" ht="12.75">
      <c r="C34" s="4" t="s">
        <v>103</v>
      </c>
      <c r="D34" t="b">
        <v>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B3:B3"/>
  <sheetViews>
    <sheetView zoomScalePageLayoutView="0" workbookViewId="0" topLeftCell="A1">
      <selection activeCell="B4" sqref="B4"/>
    </sheetView>
  </sheetViews>
  <sheetFormatPr defaultColWidth="9.140625" defaultRowHeight="12.75"/>
  <sheetData>
    <row r="3" ht="12.75">
      <c r="B3" t="s">
        <v>124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Michigan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Rozeboom</dc:creator>
  <cp:keywords/>
  <dc:description/>
  <cp:lastModifiedBy>Van Lieu, Heather</cp:lastModifiedBy>
  <cp:lastPrinted>2013-12-13T22:56:48Z</cp:lastPrinted>
  <dcterms:created xsi:type="dcterms:W3CDTF">2000-12-11T15:06:43Z</dcterms:created>
  <dcterms:modified xsi:type="dcterms:W3CDTF">2014-04-16T20:19:18Z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