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1685" windowHeight="8055" activeTab="1"/>
  </bookViews>
  <sheets>
    <sheet name="Instructions for use" sheetId="1" r:id="rId1"/>
    <sheet name="Model" sheetId="2" r:id="rId2"/>
    <sheet name="Literature Database" sheetId="3" r:id="rId3"/>
    <sheet name="Background Calcs" sheetId="4" state="hidden" r:id="rId4"/>
  </sheets>
  <definedNames>
    <definedName name="BaseC">'Background Calcs'!$C$12</definedName>
    <definedName name="BaseF">'Background Calcs'!$D$12</definedName>
    <definedName name="BaseTable">'Literature Database'!$C$7:$F$75</definedName>
    <definedName name="CitationList">'Literature Database'!$C$124:$E$224</definedName>
    <definedName name="DegreeDaysC">'Background Calcs'!$C$13</definedName>
    <definedName name="DegreeDaysF">'Background Calcs'!$D$13</definedName>
    <definedName name="InputUnits">'Model'!$D$9</definedName>
    <definedName name="LA">'Background Calcs'!$C$60</definedName>
    <definedName name="LB">'Background Calcs'!$C$61</definedName>
    <definedName name="LRmax">'Background Calcs'!$S$10</definedName>
    <definedName name="LTmax">'Background Calcs'!$R$10</definedName>
    <definedName name="LTmin">'Background Calcs'!$P$10</definedName>
    <definedName name="LTopt">'Background Calcs'!$Q$10</definedName>
    <definedName name="MaxGraph">'Background Calcs'!$F$10</definedName>
    <definedName name="MaxTempC">'Background Calcs'!$C$10</definedName>
    <definedName name="MaxTempF">'Background Calcs'!$D$10</definedName>
    <definedName name="MinGraph">'Background Calcs'!$F$9</definedName>
    <definedName name="MinTempC">'Background Calcs'!$C$9</definedName>
    <definedName name="MinTempF">'Background Calcs'!$D$9</definedName>
    <definedName name="ModelType">'Background Calcs'!$L$10</definedName>
    <definedName name="_xlnm.Print_Area" localSheetId="0">'Instructions for use'!$B$1:$B$31</definedName>
    <definedName name="_xlnm.Print_Area" localSheetId="2">'Literature Database'!$C$2:$S$122</definedName>
    <definedName name="_xlnm.Print_Area" localSheetId="1">'Model'!$B$1:$F$27</definedName>
    <definedName name="ProductionDays">'Model'!$D$7</definedName>
    <definedName name="SpeciesCultivarList">'Literature Database'!$B$7:$B$94</definedName>
    <definedName name="SpeciesList">'Literature Database'!$C$7:$C$75</definedName>
    <definedName name="SpeciesName">'Model'!$D$6</definedName>
    <definedName name="TemperatureC">'Background Calcs'!$C$8</definedName>
    <definedName name="TemperatureUnits">'Background Calcs'!$C$6</definedName>
    <definedName name="Topt">'Background Calcs'!$C$23</definedName>
  </definedNames>
  <calcPr fullCalcOnLoad="1"/>
</workbook>
</file>

<file path=xl/comments2.xml><?xml version="1.0" encoding="utf-8"?>
<comments xmlns="http://schemas.openxmlformats.org/spreadsheetml/2006/main">
  <authors>
    <author>Paul Fisher</author>
  </authors>
  <commentList>
    <comment ref="D6" authorId="0">
      <text>
        <r>
          <rPr>
            <b/>
            <sz val="9"/>
            <rFont val="Tahoma"/>
            <family val="2"/>
          </rPr>
          <t>Click on the small arrow, then select the cultivar you are growing from the drop down list.
If the specific cultivar you are growing is not present, interpret the model predictions with caution.</t>
        </r>
      </text>
    </comment>
    <comment ref="D7" authorId="0">
      <text>
        <r>
          <rPr>
            <b/>
            <sz val="9"/>
            <rFont val="Tahoma"/>
            <family val="2"/>
          </rPr>
          <t>The model uses your own production time and temperature as a standard set of conditions.
The model then estimates how changing the temperature (and keeping all other factors the same) will vary production time.
Enter your normal production time given the starting plant material, specifications for a finished crop, light level, etc. in your location.</t>
        </r>
      </text>
    </comment>
    <comment ref="D9" authorId="0">
      <text>
        <r>
          <rPr>
            <b/>
            <sz val="9"/>
            <rFont val="Tahoma"/>
            <family val="2"/>
          </rPr>
          <t>Pick the temperature units from the drop down list:
C for Celsius, or
F for Fahrenheit</t>
        </r>
      </text>
    </comment>
    <comment ref="D8" authorId="0">
      <text>
        <r>
          <rPr>
            <b/>
            <sz val="9"/>
            <rFont val="Tahoma"/>
            <family val="2"/>
          </rPr>
          <t>The model uses your own production time and temperature as a standard set of conditions.
The model then estimates how changing the temperature (and keeping all other factors the same) will vary production time.
Enter the average daily air temperature at which you normally grow this crop.</t>
        </r>
      </text>
    </comment>
    <comment ref="D11" authorId="0">
      <text>
        <r>
          <rPr>
            <b/>
            <sz val="9"/>
            <rFont val="Tahoma"/>
            <family val="2"/>
          </rPr>
          <t>This "base temperature" is the temperature below which plants are estimated to stop flower development.</t>
        </r>
      </text>
    </comment>
    <comment ref="D12" authorId="0">
      <text>
        <r>
          <rPr>
            <b/>
            <sz val="9"/>
            <rFont val="Tahoma"/>
            <family val="2"/>
          </rPr>
          <t>The shortest crop time is expected to occur at this "optimum temperature".
At temperatures above the optimum temperature, flowering may take the same amount of time or be delayed.
If this cell shows "N/A", the research found that crop time was reduced as temperature increased, at all temperatures tested.</t>
        </r>
        <r>
          <rPr>
            <sz val="9"/>
            <rFont val="Tahoma"/>
            <family val="2"/>
          </rPr>
          <t xml:space="preserve">
</t>
        </r>
      </text>
    </comment>
    <comment ref="D19" authorId="0">
      <text>
        <r>
          <rPr>
            <b/>
            <sz val="9"/>
            <rFont val="Tahoma"/>
            <family val="2"/>
          </rPr>
          <t>This temperature and crop time is the "standard", based on your normal growing conditions that you entered in the grey cells above.
The model estimates how the crop time would change by raising or lowering this temperature in 2 °F (1.1 °C) increments, up to ± 6 °F (3.3 °C).</t>
        </r>
      </text>
    </comment>
    <comment ref="F6" authorId="0">
      <text>
        <r>
          <rPr>
            <b/>
            <sz val="9"/>
            <rFont val="Tahoma"/>
            <family val="2"/>
          </rPr>
          <t>Data points with question marks (?) are at temperatures outside the experimentally tested range, and should be treated with caution.</t>
        </r>
        <r>
          <rPr>
            <sz val="9"/>
            <rFont val="Tahoma"/>
            <family val="2"/>
          </rPr>
          <t xml:space="preserve">
</t>
        </r>
      </text>
    </comment>
  </commentList>
</comments>
</file>

<file path=xl/sharedStrings.xml><?xml version="1.0" encoding="utf-8"?>
<sst xmlns="http://schemas.openxmlformats.org/spreadsheetml/2006/main" count="673" uniqueCount="304">
  <si>
    <t>F</t>
  </si>
  <si>
    <t>Temperature units (C or F):</t>
  </si>
  <si>
    <t>Ageratum</t>
  </si>
  <si>
    <t>Cineraria</t>
  </si>
  <si>
    <t>Easter lily</t>
  </si>
  <si>
    <t>Gaillardia</t>
  </si>
  <si>
    <t>Leucanthemum</t>
  </si>
  <si>
    <t>Marigold (French)</t>
  </si>
  <si>
    <t>Snapdragon</t>
  </si>
  <si>
    <t>Viola</t>
  </si>
  <si>
    <t>Calibrachoa</t>
  </si>
  <si>
    <t>Dahlia</t>
  </si>
  <si>
    <t>Impatiens (seed)</t>
  </si>
  <si>
    <t>African violet</t>
  </si>
  <si>
    <t>Angelonia</t>
  </si>
  <si>
    <t>Begonia (fibrous)</t>
  </si>
  <si>
    <t>Blue salvia</t>
  </si>
  <si>
    <t>Celosia</t>
  </si>
  <si>
    <t>Gazania</t>
  </si>
  <si>
    <t>Hibiscus</t>
  </si>
  <si>
    <t>New Guinea impatiens</t>
  </si>
  <si>
    <t>Phalaenopsis orchid</t>
  </si>
  <si>
    <t>Poinsettia</t>
  </si>
  <si>
    <t>Rose</t>
  </si>
  <si>
    <t>Vinca</t>
  </si>
  <si>
    <t>C</t>
  </si>
  <si>
    <t>TemperatureUnits</t>
  </si>
  <si>
    <t>Base Temperature</t>
  </si>
  <si>
    <t>Degree days per crop</t>
  </si>
  <si>
    <t>MaxTempC</t>
  </si>
  <si>
    <t>MaxTempGraph</t>
  </si>
  <si>
    <t>MinTempC</t>
  </si>
  <si>
    <t>Temp Limits</t>
  </si>
  <si>
    <t>Graph Limits</t>
  </si>
  <si>
    <t>Species list</t>
  </si>
  <si>
    <t>Expected production time for different temperature (±7 days)</t>
  </si>
  <si>
    <t>Days</t>
  </si>
  <si>
    <t>Expected production times</t>
  </si>
  <si>
    <t>Argyranthemum</t>
  </si>
  <si>
    <t>Mecardonia</t>
  </si>
  <si>
    <t>Osteospermum</t>
  </si>
  <si>
    <t>Scaevola</t>
  </si>
  <si>
    <t>New Wonder</t>
  </si>
  <si>
    <t>Whirlwind Blue</t>
  </si>
  <si>
    <t>Verbena</t>
  </si>
  <si>
    <t>Tmax</t>
  </si>
  <si>
    <t>Cultivar</t>
  </si>
  <si>
    <t>Linear Model</t>
  </si>
  <si>
    <t>Topt</t>
  </si>
  <si>
    <t>Landsberg Function</t>
  </si>
  <si>
    <t>Tmin</t>
  </si>
  <si>
    <t>Rmax</t>
  </si>
  <si>
    <t>Low</t>
  </si>
  <si>
    <t>High</t>
  </si>
  <si>
    <t>Light level</t>
  </si>
  <si>
    <t>Photopd</t>
  </si>
  <si>
    <t>Experimental Conditions</t>
  </si>
  <si>
    <t>Air temp A</t>
  </si>
  <si>
    <t>Leaf temp L</t>
  </si>
  <si>
    <t>Greenhouse G or</t>
  </si>
  <si>
    <t>Growth Chamber GC</t>
  </si>
  <si>
    <t>High Tide Blue</t>
  </si>
  <si>
    <t>L</t>
  </si>
  <si>
    <t>Blanchard, 2009</t>
  </si>
  <si>
    <t>A</t>
  </si>
  <si>
    <t>G</t>
  </si>
  <si>
    <t>4.1 to 18.7</t>
  </si>
  <si>
    <t>Serena Purple</t>
  </si>
  <si>
    <t>B</t>
  </si>
  <si>
    <t>GC</t>
  </si>
  <si>
    <t>Marigold (African)</t>
  </si>
  <si>
    <t>Antigua Primose</t>
  </si>
  <si>
    <t>Rudbeckia (perennial)</t>
  </si>
  <si>
    <t>Rudbeckia (annual)</t>
  </si>
  <si>
    <t>Toto Rustic</t>
  </si>
  <si>
    <t>Victoria Blue</t>
  </si>
  <si>
    <t>Browallia</t>
  </si>
  <si>
    <t>Bells Marine</t>
  </si>
  <si>
    <t>Cosmos (sulphureus)</t>
  </si>
  <si>
    <t>Cosmic Orange</t>
  </si>
  <si>
    <t>Figaro Mix</t>
  </si>
  <si>
    <t>Super Parfait Raspberry</t>
  </si>
  <si>
    <t>Janie Flame</t>
  </si>
  <si>
    <t>Daybreak Bronze</t>
  </si>
  <si>
    <t>Portulaca</t>
  </si>
  <si>
    <t>Pentas</t>
  </si>
  <si>
    <t>Graffiti Lavender</t>
  </si>
  <si>
    <t>Dreams Neon Rose</t>
  </si>
  <si>
    <t>Easy Wave Coral Reef</t>
  </si>
  <si>
    <t>3.9 to 18.7</t>
  </si>
  <si>
    <t>Montego Orange Bicolor</t>
  </si>
  <si>
    <t>Quartz Waterfall Mix</t>
  </si>
  <si>
    <t>Sorbet Plum Velvet</t>
  </si>
  <si>
    <t>Zinnia</t>
  </si>
  <si>
    <t>Dreamland Coral</t>
  </si>
  <si>
    <t>Sprint Blush</t>
  </si>
  <si>
    <t>Viper Grape</t>
  </si>
  <si>
    <t>Blue lobelia</t>
  </si>
  <si>
    <t>Riviera Midnight Blue</t>
  </si>
  <si>
    <t>Florever Violet</t>
  </si>
  <si>
    <t>4.2 to 19.1</t>
  </si>
  <si>
    <t>4.4 to 10.1</t>
  </si>
  <si>
    <t>4.9 to 18.4</t>
  </si>
  <si>
    <t>Cleome</t>
  </si>
  <si>
    <t>Queen Mix</t>
  </si>
  <si>
    <t>4.6 to 17.2</t>
  </si>
  <si>
    <t>Astilbe</t>
  </si>
  <si>
    <t>Frane, 1999</t>
  </si>
  <si>
    <t>4-h NI</t>
  </si>
  <si>
    <t>Campanula carpatica</t>
  </si>
  <si>
    <t>Blue Clips</t>
  </si>
  <si>
    <t>Niu et al., 2001</t>
  </si>
  <si>
    <t>Cindy Blue</t>
  </si>
  <si>
    <t>Yeh et al., 1999</t>
  </si>
  <si>
    <t>4.7 to 11.9</t>
  </si>
  <si>
    <t>Coreopsis grandiflora</t>
  </si>
  <si>
    <t>Sunray</t>
  </si>
  <si>
    <t>Yuan et al., 1998</t>
  </si>
  <si>
    <t>Coreopsis verticillata</t>
  </si>
  <si>
    <t>Moonbeam</t>
  </si>
  <si>
    <t>Dianthus chinensis</t>
  </si>
  <si>
    <t>Delphinium grandiflorum</t>
  </si>
  <si>
    <t>Blue Mirror</t>
  </si>
  <si>
    <t>Berghage et al., 1990</t>
  </si>
  <si>
    <t>Annette Hegg Dark Red</t>
  </si>
  <si>
    <t>Goblin</t>
  </si>
  <si>
    <t>Geranium dalmaticum</t>
  </si>
  <si>
    <t>Geranium (Pelargonium)</t>
  </si>
  <si>
    <t>Daylily</t>
  </si>
  <si>
    <t>Disco Belle Mix</t>
  </si>
  <si>
    <t>Snowcap</t>
  </si>
  <si>
    <t>Phlox paniculata</t>
  </si>
  <si>
    <t>Eva Cullum</t>
  </si>
  <si>
    <t>Phlox subulata</t>
  </si>
  <si>
    <t>Emerald Blue</t>
  </si>
  <si>
    <t>Goldsturm</t>
  </si>
  <si>
    <t>Sedum</t>
  </si>
  <si>
    <t>Autumn Joy</t>
  </si>
  <si>
    <t>5 to 25</t>
  </si>
  <si>
    <t>Pramuk and Runkle, 2005</t>
  </si>
  <si>
    <t>8 to 26</t>
  </si>
  <si>
    <t>Gloria Mix</t>
  </si>
  <si>
    <t>Salvia splendens</t>
  </si>
  <si>
    <t>Moccaldi and Runkle, 2007</t>
  </si>
  <si>
    <t>Vista Red</t>
  </si>
  <si>
    <t>Accent Red</t>
  </si>
  <si>
    <t>Nellie White</t>
  </si>
  <si>
    <t>Erwin and Heins, 1990</t>
  </si>
  <si>
    <t>Robinson, 2002</t>
  </si>
  <si>
    <t>Model developed with 4 hybrids</t>
  </si>
  <si>
    <t>Angelface Blue</t>
  </si>
  <si>
    <t>Butterfly</t>
  </si>
  <si>
    <t>Superbells Red</t>
  </si>
  <si>
    <t>Gold Flake</t>
  </si>
  <si>
    <t>Soprano Purple</t>
  </si>
  <si>
    <t>Orange Symphony</t>
  </si>
  <si>
    <t>Petunia</t>
  </si>
  <si>
    <t>Supertunia Bordeaux</t>
  </si>
  <si>
    <t>Superbena Burgundy</t>
  </si>
  <si>
    <t>Runkle, 2006</t>
  </si>
  <si>
    <t>Erwin, 2006</t>
  </si>
  <si>
    <t>Citation</t>
  </si>
  <si>
    <t>Species/Cultivar:</t>
  </si>
  <si>
    <t>Species/Cultivar code (calculated)</t>
  </si>
  <si>
    <t>Linear/Landsberg</t>
  </si>
  <si>
    <t>Linear</t>
  </si>
  <si>
    <t>Landberg</t>
  </si>
  <si>
    <t>Min experiment temp</t>
  </si>
  <si>
    <t>Current air temp - 6F</t>
  </si>
  <si>
    <t>Overall min temp</t>
  </si>
  <si>
    <t>Max experiment temp</t>
  </si>
  <si>
    <t>Current air temp + 6F</t>
  </si>
  <si>
    <t>Overall max temp</t>
  </si>
  <si>
    <t>Temp (C )</t>
  </si>
  <si>
    <t>Margarita Apricot</t>
  </si>
  <si>
    <t>Temperature in C</t>
  </si>
  <si>
    <t>Temperature checked</t>
  </si>
  <si>
    <t>Checked days</t>
  </si>
  <si>
    <t>Classic Wave Purple</t>
  </si>
  <si>
    <t>Avalanche Pink</t>
  </si>
  <si>
    <t>Dreams Rose</t>
  </si>
  <si>
    <t>Mattson and Erwin 2003</t>
  </si>
  <si>
    <t>Sylvana Malve</t>
  </si>
  <si>
    <t>Adams et al., 1997</t>
  </si>
  <si>
    <t>Landsberg</t>
  </si>
  <si>
    <t>Current Temp:</t>
  </si>
  <si>
    <t>Checked</t>
  </si>
  <si>
    <r>
      <t xml:space="preserve">FlowersOnTime: </t>
    </r>
    <r>
      <rPr>
        <b/>
        <i/>
        <sz val="16"/>
        <color indexed="9"/>
        <rFont val="Arial"/>
        <family val="2"/>
      </rPr>
      <t>Temperature Effect on Days to Flower</t>
    </r>
  </si>
  <si>
    <t>1 to 10</t>
  </si>
  <si>
    <t>Faust and Heins, 1993</t>
  </si>
  <si>
    <t>Utah</t>
  </si>
  <si>
    <t>Berghage, R.D., R.D. Heins, and J.E. Erwin. 1990. Quantifying leaf unfolding in the poinsettia. Acta Hort. 272:243−247.</t>
  </si>
  <si>
    <t>Blanchard, M.G. 2009. Manipulating light and temperature for energy-efficient greenhouse production of ornamental crops. PhD Diss., Dept. of Horticulture, Michigan State Univ., East Lansing.</t>
  </si>
  <si>
    <t>Erwin, J.  2006.  Evaluation of temperature effects on flowering of several vegetatively-propagated plant species.  Unpublished research report.</t>
  </si>
  <si>
    <t xml:space="preserve">Mattson, N., Erwin, J., 2003. Temperature affects flower initiation and developmental rate of Impatiens, Petunia, and Viola. Acta Hortic. 624, 191–197. </t>
  </si>
  <si>
    <t>Pramuk, L.A. and E.S. Runkle. 2005. Modeling growth and development of celosia and impatiens in response to temperature and photosynthetic daily light integral. J. Amer. Soc. Hort. Sci. 130:813−818.</t>
  </si>
  <si>
    <t xml:space="preserve">Yeh, D.M., J.G. Atherton, and J. Craigon. 1999. A thermal time model of post-initiation flower development in the shade plant, cineraria. Ann. Appl. Biol. 134:335−340. </t>
  </si>
  <si>
    <t>Citation List</t>
  </si>
  <si>
    <t>Code</t>
  </si>
  <si>
    <t>URL</t>
  </si>
  <si>
    <t>Full Citation</t>
  </si>
  <si>
    <t>Literature Database</t>
  </si>
  <si>
    <t>Data points with question marks (?) are at temperatures outside the experimentally tested range and should be interpreted with caution.</t>
  </si>
  <si>
    <t>Base temperature reported</t>
  </si>
  <si>
    <t>Topt reported</t>
  </si>
  <si>
    <t>This grower decision-support tool aims to help growers estimate the likely effect of changing the air temperature on flowering time of ornamental crops.</t>
  </si>
  <si>
    <t>This is a guide only, based on research with limited cultivars and experimental conditions.  See "Instructions for use" sheet to interpret this information.</t>
  </si>
  <si>
    <t>The use of brand, trade, or cultivar names does not imply endorsement by the University of Florida, nor discrimination against similar products not mentioned.</t>
  </si>
  <si>
    <t>Here are some factors that reduce the accuracy of the model predictions:</t>
  </si>
  <si>
    <t>Production times typically vary by ± 7 days between greenhouse locations at the same temperature because of factors such as light level.</t>
  </si>
  <si>
    <t>You grow cultivars other than those tested</t>
  </si>
  <si>
    <t>The temperature range varies from temperatures beyond typical horticultural conditions</t>
  </si>
  <si>
    <t>The temperature range is close to the base temperature, or above the optimum temperature</t>
  </si>
  <si>
    <t xml:space="preserve">Temperatures are outside the range tested experimentally, which are indicated on the graph with question marks (?) </t>
  </si>
  <si>
    <t>Species/Cultivar: Pick from the drop down list of species and cultivars tested under research conditions.</t>
  </si>
  <si>
    <t>Key concepts for thermal time models are that (a) there is a "base temperature" below which plants do not develop towards flowering, (b) crop time decreases as the temperature increases above the base temperature, and (c) with some crops there can be an "optimum temperature" above which crop time is no shorter (or can actually be longer) as temperature increases.</t>
  </si>
  <si>
    <t>To use this tool, you need to provide information on the gray cells in the "Model" sheet:</t>
  </si>
  <si>
    <t>Standard production time (days): You need to specify how long it would take for you to finish the crop under your growing conditions, your starting plant material (for example, a 128-cell plug), and your crop specifications for a finished stage (for example, a 606 flat with at least 6 flowers open).</t>
  </si>
  <si>
    <t>Standard production temperature: This is the temperature at which you would normally grow this crop.</t>
  </si>
  <si>
    <t>The model takes your "standard crop time" and "standard production temperature" as the standard crop conditions.</t>
  </si>
  <si>
    <t>Standard crop time (days):</t>
  </si>
  <si>
    <t>By growing warmer or cooler, the cropping period now includes conditions that vary in other ways, for example short day length or less light in the winter or fall, which also affect flowering time</t>
  </si>
  <si>
    <t>This is a guide only - use it as a second opinion.  The tool is based on research with limited cultivars and experimental conditions, where scientists grew plants under a range of temperatures and recorded flowering time.  Researchers then fit predictive curves to the data, which are sometimes called degree day or thermal time models.</t>
  </si>
  <si>
    <t>We would like to continue improving and expanding this tool.  We welcome comments, and if you know of research other than that shown in the "Literature Database" sheet, please contact us at pfisher@ufl.edu.</t>
  </si>
  <si>
    <t>http://www.actahort.org/books/435/435_5.htm</t>
  </si>
  <si>
    <t xml:space="preserve">Adams, S.R., Pearson, S., Hadley, P., 1997. The effects of temperature and photoperiod on the flowering and morphology of trailing petunias. Acta Hort. 435, 65–75. </t>
  </si>
  <si>
    <t>http://www.actahort.org/books/272/272_35.htm</t>
  </si>
  <si>
    <t>http://search.proquest.com.proxy1.cl.msu.edu/docview/304932491</t>
  </si>
  <si>
    <t>Blanchard and Runkle, 2011</t>
  </si>
  <si>
    <t>http://dx.doi.org/10.1016/j.scienta.2010.12.010</t>
  </si>
  <si>
    <t>Blanchard, M.G. and E.S. Runkle. 2011. Quantifying the thermal flowering rates of eighteen species of annual bedding plants. Scientia Hort. 128:30-37.</t>
  </si>
  <si>
    <t>http://journal.ashspublications.org/cgi/content/abstract/115/4/644</t>
  </si>
  <si>
    <t>Erwin, J.D. and R.D. Heins. 1990. Temperature effects on lily development rate and morphology from the visible bud stage until anthesis. J. Amer. Soc. Hort Sci. 115:644-646.</t>
  </si>
  <si>
    <t>http://www.horticulture.umn.edu/Who_sWho/Faculty/JohnErwin/index.htm</t>
  </si>
  <si>
    <t>http://journal.ashspublications.org/cgi/content/abstract/118/6/747</t>
  </si>
  <si>
    <t>http://search.proquest.com.proxy2.cl.msu.edu/docview/304521370</t>
  </si>
  <si>
    <t>http://www.actahort.org/books/624/624_25.htm</t>
  </si>
  <si>
    <t>http://journal.ashspublications.org/cgi/content/abstract/132/3/283</t>
  </si>
  <si>
    <t>http://hortsci.ashspublications.org/cgi/content/abstract/36/4/664</t>
  </si>
  <si>
    <t>http://dx.doi.org/10.1016/0304-4238(96)00904-1</t>
  </si>
  <si>
    <t>http://journal.ashspublications.org/cgi/content/abstract/130/6/813</t>
  </si>
  <si>
    <t>http://www.lib.msu.edu</t>
  </si>
  <si>
    <t>http://onlinelibrary.wiley.com/doi/10.1111/j.1744-7348.1999.tb05273.x/abstract</t>
  </si>
  <si>
    <t>http://hortsci.ashspublications.org/cgi/content/abstract/33/4/663</t>
  </si>
  <si>
    <r>
      <t>Faust, J.E.and R.D. Heins. 1993. Modeling leaf development of the African violet (</t>
    </r>
    <r>
      <rPr>
        <i/>
        <sz val="9"/>
        <rFont val="Arial"/>
        <family val="2"/>
      </rPr>
      <t>Saintpaulia ionantha</t>
    </r>
    <r>
      <rPr>
        <sz val="9"/>
        <rFont val="Arial"/>
        <family val="2"/>
      </rPr>
      <t xml:space="preserve"> Wendl.). J. Amer. Soc. Hort. Sci.  118: 747-751.</t>
    </r>
  </si>
  <si>
    <r>
      <t xml:space="preserve">Frane, A.J. 1999. Temperature effects on timing and bud development of </t>
    </r>
    <r>
      <rPr>
        <i/>
        <sz val="9"/>
        <rFont val="Arial"/>
        <family val="2"/>
      </rPr>
      <t>Coreopsis verticillata</t>
    </r>
    <r>
      <rPr>
        <sz val="9"/>
        <rFont val="Arial"/>
        <family val="2"/>
      </rPr>
      <t xml:space="preserve"> ‘Moonbeam’ and flower induction of long-day perennials under different night temperatures. MS Thesis, Dept. of Hort., Michigan State Univ., E. Lansing. </t>
    </r>
  </si>
  <si>
    <r>
      <t xml:space="preserve">Moccaldi, L.A. and E.S. Runkle. 2007. Modeling the effects of temperature and photosynthetic daily light integral on growth and flowering of </t>
    </r>
    <r>
      <rPr>
        <i/>
        <sz val="9"/>
        <rFont val="Arial"/>
        <family val="2"/>
      </rPr>
      <t>Salvia splendens</t>
    </r>
    <r>
      <rPr>
        <sz val="9"/>
        <rFont val="Arial"/>
        <family val="2"/>
      </rPr>
      <t xml:space="preserve"> and </t>
    </r>
    <r>
      <rPr>
        <i/>
        <sz val="9"/>
        <rFont val="Arial"/>
        <family val="2"/>
      </rPr>
      <t>Tagetes patula</t>
    </r>
    <r>
      <rPr>
        <sz val="9"/>
        <rFont val="Arial"/>
        <family val="2"/>
      </rPr>
      <t>. J. Amer. Soc. Hort. Sci. 132:283−288.</t>
    </r>
  </si>
  <si>
    <r>
      <t xml:space="preserve">Niu, G., R.D. Heins, A. Cameron, and W. Carlson. 2001. Temperature and daily light integral influence plant quality and flower development of </t>
    </r>
    <r>
      <rPr>
        <i/>
        <sz val="9"/>
        <rFont val="Arial"/>
        <family val="2"/>
      </rPr>
      <t>Campanula carpatica</t>
    </r>
    <r>
      <rPr>
        <sz val="9"/>
        <rFont val="Arial"/>
        <family val="2"/>
      </rPr>
      <t xml:space="preserve"> ‘Blue Clips’, ‘Deep Blue Clips’, and Campanula ‘Birch Hybrid’. HortScience 36:664−668.</t>
    </r>
  </si>
  <si>
    <r>
      <t xml:space="preserve">Robinson, K.A. 2002. Effects of temperature on the flower development rate and morphology of </t>
    </r>
    <r>
      <rPr>
        <i/>
        <sz val="9"/>
        <rFont val="Arial"/>
        <family val="2"/>
      </rPr>
      <t>Phalaenopsis</t>
    </r>
    <r>
      <rPr>
        <sz val="9"/>
        <rFont val="Arial"/>
        <family val="2"/>
      </rPr>
      <t xml:space="preserve"> orchid. MS Thesis. Mich. State Univ., East Lansing.</t>
    </r>
  </si>
  <si>
    <r>
      <t xml:space="preserve">Yuan, M., W.H. Carlson, R.D. Heins, and A.C. Cameron. 1998. Effect of forcing temperature on time to flower of </t>
    </r>
    <r>
      <rPr>
        <i/>
        <sz val="9"/>
        <rFont val="Arial"/>
        <family val="2"/>
      </rPr>
      <t>Coreopsis grandiflora</t>
    </r>
    <r>
      <rPr>
        <sz val="9"/>
        <rFont val="Arial"/>
        <family val="2"/>
      </rPr>
      <t xml:space="preserve">, </t>
    </r>
    <r>
      <rPr>
        <i/>
        <sz val="9"/>
        <rFont val="Arial"/>
        <family val="2"/>
      </rPr>
      <t>Gaillardia</t>
    </r>
    <r>
      <rPr>
        <sz val="9"/>
        <rFont val="Arial"/>
        <family val="2"/>
      </rPr>
      <t xml:space="preserve"> ×</t>
    </r>
    <r>
      <rPr>
        <i/>
        <sz val="9"/>
        <rFont val="Arial"/>
        <family val="2"/>
      </rPr>
      <t>grandiflora</t>
    </r>
    <r>
      <rPr>
        <sz val="9"/>
        <rFont val="Arial"/>
        <family val="2"/>
      </rPr>
      <t xml:space="preserve">, </t>
    </r>
    <r>
      <rPr>
        <i/>
        <sz val="9"/>
        <rFont val="Arial"/>
        <family val="2"/>
      </rPr>
      <t>Leucanthemum</t>
    </r>
    <r>
      <rPr>
        <sz val="9"/>
        <rFont val="Arial"/>
        <family val="2"/>
      </rPr>
      <t xml:space="preserve"> ×</t>
    </r>
    <r>
      <rPr>
        <i/>
        <sz val="9"/>
        <rFont val="Arial"/>
        <family val="2"/>
      </rPr>
      <t>superbum</t>
    </r>
    <r>
      <rPr>
        <sz val="9"/>
        <rFont val="Arial"/>
        <family val="2"/>
      </rPr>
      <t xml:space="preserve">, and </t>
    </r>
    <r>
      <rPr>
        <i/>
        <sz val="9"/>
        <rFont val="Arial"/>
        <family val="2"/>
      </rPr>
      <t>Rudbeckia fulgida</t>
    </r>
    <r>
      <rPr>
        <sz val="9"/>
        <rFont val="Arial"/>
        <family val="2"/>
      </rPr>
      <t>. HortScience 33:663−667.</t>
    </r>
  </si>
  <si>
    <t>variable</t>
  </si>
  <si>
    <t>5 to 60</t>
  </si>
  <si>
    <t>Pasian and Lieth, 1994</t>
  </si>
  <si>
    <t>Cara Mia, Kardinal, Sonia, Royalty</t>
  </si>
  <si>
    <t>Pasian, C.C. and Lieth, J.H., 1994. Prediction of flowering rose shoot development based on air temperature and thermal units. Sci. Hort. 59: 131-145.</t>
  </si>
  <si>
    <r>
      <t xml:space="preserve">FlowersOnTime: </t>
    </r>
    <r>
      <rPr>
        <b/>
        <i/>
        <sz val="16"/>
        <color indexed="9"/>
        <rFont val="Arial"/>
        <family val="2"/>
      </rPr>
      <t>Temperature Effect on Days to Flower</t>
    </r>
  </si>
  <si>
    <t>Enter your information into grey cells below</t>
  </si>
  <si>
    <t>Marigold (American)</t>
  </si>
  <si>
    <t>Inca II Mix</t>
  </si>
  <si>
    <t>9 or 18</t>
  </si>
  <si>
    <t>Vaid and Runkle, 2013</t>
  </si>
  <si>
    <t>Vaid, T.M. and E.S. Runkle. 2013. Developing flowering rate models in response to mean temperature
for common annual ornamental crops. Sci. Hort. 161:15-23.</t>
  </si>
  <si>
    <t>Cupflower (Nierembergia)</t>
  </si>
  <si>
    <t>Purple Robe</t>
  </si>
  <si>
    <t>Diascia</t>
  </si>
  <si>
    <t>Diamonte Mix</t>
  </si>
  <si>
    <t>Flowering tobacco (Nicotiana)</t>
  </si>
  <si>
    <t>Perfume Deep Purple</t>
  </si>
  <si>
    <t>Pinto Red</t>
  </si>
  <si>
    <t>Ringo 2000 Deep Red</t>
  </si>
  <si>
    <t>Heliotrope</t>
  </si>
  <si>
    <t>Blue Wonder</t>
  </si>
  <si>
    <t>Blitz 3000 Deep Orange</t>
  </si>
  <si>
    <t>Nemesia</t>
  </si>
  <si>
    <t>Poetry White</t>
  </si>
  <si>
    <t>22 cultivars tested (vegetative)</t>
  </si>
  <si>
    <t>Divine Cherry Red (seed)</t>
  </si>
  <si>
    <t>Asti Purple</t>
  </si>
  <si>
    <t>Bravo Blue</t>
  </si>
  <si>
    <t>Stock</t>
  </si>
  <si>
    <t>Hot Cakes Purple</t>
  </si>
  <si>
    <t>Torenia</t>
  </si>
  <si>
    <t>Clown Blue</t>
  </si>
  <si>
    <t>Version 1.3, November 2013</t>
  </si>
  <si>
    <t>Temperature units (°C or °F)</t>
  </si>
  <si>
    <r>
      <t xml:space="preserve">The model then varies this standard crop time by raising or lowering air temperature in 2 °F (1.1 °C) </t>
    </r>
    <r>
      <rPr>
        <sz val="10"/>
        <rFont val="Calibri"/>
        <family val="2"/>
      </rPr>
      <t xml:space="preserve">increments up to </t>
    </r>
    <r>
      <rPr>
        <sz val="10"/>
        <rFont val="Arial"/>
        <family val="2"/>
      </rPr>
      <t>6 °F (3.3 °C), assuming all other conditions are the same (for example, light).</t>
    </r>
  </si>
  <si>
    <t>°C</t>
  </si>
  <si>
    <t>°F</t>
  </si>
  <si>
    <t>Thanks to the USDA-ARS Floriculture and Nursery Research Initiative, the American Floral Endowment, MSU Floriculture, Project GREEEN, SAF, University of Florida IFAS, and the Young Plant Research Center (floriculturealliance.org) for providing support for this research.</t>
  </si>
  <si>
    <t>DLI</t>
  </si>
  <si>
    <t>(°C)</t>
  </si>
  <si>
    <t>Photoperiod</t>
  </si>
  <si>
    <t>(hours)</t>
  </si>
  <si>
    <t>Stella de Oro</t>
  </si>
  <si>
    <t>chinensis pumila</t>
  </si>
  <si>
    <t>Greenhouse G, or</t>
  </si>
  <si>
    <t>Air temp A, or</t>
  </si>
  <si>
    <t>Paul Fisher, University of Florida; Erik Runkle and Matt Blanchard, Michigan State University; John Erwin, University of Minnesota.</t>
  </si>
  <si>
    <t>Version 1.3, November 2013                                                                                                                                                                                        www.floriculturealliance.org</t>
  </si>
  <si>
    <t>www.floriculturealliance.org</t>
  </si>
  <si>
    <r>
      <t>(mol</t>
    </r>
    <r>
      <rPr>
        <sz val="10"/>
        <rFont val="Calibri"/>
        <family val="2"/>
      </rPr>
      <t>∙</t>
    </r>
    <r>
      <rPr>
        <sz val="10"/>
        <rFont val="Arial"/>
        <family val="2"/>
      </rPr>
      <t>m</t>
    </r>
    <r>
      <rPr>
        <vertAlign val="superscript"/>
        <sz val="10"/>
        <rFont val="Arial"/>
        <family val="2"/>
      </rPr>
      <t>-2</t>
    </r>
    <r>
      <rPr>
        <sz val="10"/>
        <rFont val="Arial"/>
        <family val="2"/>
      </rPr>
      <t>∙d</t>
    </r>
    <r>
      <rPr>
        <vertAlign val="superscript"/>
        <sz val="10"/>
        <rFont val="Arial"/>
        <family val="2"/>
      </rPr>
      <t>-1</t>
    </r>
    <r>
      <rPr>
        <sz val="10"/>
        <rFont val="Arial"/>
        <family val="2"/>
      </rPr>
      <t>)</t>
    </r>
  </si>
  <si>
    <r>
      <t>Model Type</t>
    </r>
    <r>
      <rPr>
        <sz val="10"/>
        <rFont val="Arial"/>
        <family val="2"/>
      </rPr>
      <t xml:space="preserve"> (Linear L, or Landsberg B)</t>
    </r>
  </si>
  <si>
    <t>Rose: Cara Mia, Kardinal, Sonia, Royalty</t>
  </si>
  <si>
    <t>Version 1.4, November 2015</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</si>
</sst>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
    <numFmt numFmtId="173" formatCode="0.0000"/>
    <numFmt numFmtId="174" formatCode="0.000"/>
    <numFmt numFmtId="175" formatCode="0.0"/>
    <numFmt numFmtId="176" formatCode="0.0000000"/>
    <numFmt numFmtId="177" formatCode="0.000000"/>
    <numFmt numFmtId="178" formatCode="&quot;Yes&quot;;&quot;Yes&quot;;&quot;No&quot;"/>
    <numFmt numFmtId="179" formatCode="&quot;True&quot;;&quot;True&quot;;&quot;False&quot;"/>
    <numFmt numFmtId="180" formatCode="&quot;On&quot;;&quot;On&quot;;&quot;Off&quot;"/>
    <numFmt numFmtId="181" formatCode="[$€-2]\ #,##0.00_);[Red]\([$€-2]\ #,##0.00\)"/>
  </numFmts>
  <fonts count="82">
    <font>
      <sz val="10"/>
      <name val="Arial"/>
      <family val="0"/>
    </font>
    <font>
      <sz val="10"/>
      <name val="Viner Hand ITC"/>
      <family val="4"/>
    </font>
    <font>
      <sz val="8"/>
      <name val="Arial"/>
      <family val="2"/>
    </font>
    <font>
      <sz val="10"/>
      <color indexed="9"/>
      <name val="Arial"/>
      <family val="2"/>
    </font>
    <font>
      <u val="single"/>
      <sz val="10"/>
      <color indexed="12"/>
      <name val="Arial"/>
      <family val="2"/>
    </font>
    <font>
      <u val="single"/>
      <sz val="10"/>
      <color indexed="36"/>
      <name val="Arial"/>
      <family val="2"/>
    </font>
    <font>
      <sz val="10"/>
      <color indexed="13"/>
      <name val="Arial"/>
      <family val="2"/>
    </font>
    <font>
      <b/>
      <sz val="16"/>
      <color indexed="13"/>
      <name val="Arial"/>
      <family val="2"/>
    </font>
    <font>
      <sz val="12"/>
      <color indexed="9"/>
      <name val="Arial"/>
      <family val="2"/>
    </font>
    <font>
      <sz val="12"/>
      <name val="Arial"/>
      <family val="2"/>
    </font>
    <font>
      <b/>
      <sz val="10"/>
      <name val="Arial"/>
      <family val="2"/>
    </font>
    <font>
      <sz val="7"/>
      <name val="Arial"/>
      <family val="2"/>
    </font>
    <font>
      <b/>
      <sz val="11"/>
      <name val="Arial"/>
      <family val="2"/>
    </font>
    <font>
      <sz val="11"/>
      <name val="Arial"/>
      <family val="2"/>
    </font>
    <font>
      <b/>
      <sz val="16"/>
      <color indexed="9"/>
      <name val="Arial"/>
      <family val="2"/>
    </font>
    <font>
      <sz val="9"/>
      <color indexed="42"/>
      <name val="Arial"/>
      <family val="2"/>
    </font>
    <font>
      <sz val="10"/>
      <color indexed="10"/>
      <name val="Arial"/>
      <family val="2"/>
    </font>
    <font>
      <b/>
      <sz val="10"/>
      <color indexed="10"/>
      <name val="Arial"/>
      <family val="2"/>
    </font>
    <font>
      <b/>
      <i/>
      <sz val="11"/>
      <name val="Arial"/>
      <family val="2"/>
    </font>
    <font>
      <b/>
      <i/>
      <sz val="10"/>
      <color indexed="10"/>
      <name val="Arial"/>
      <family val="2"/>
    </font>
    <font>
      <b/>
      <i/>
      <sz val="16"/>
      <color indexed="9"/>
      <name val="Arial"/>
      <family val="2"/>
    </font>
    <font>
      <sz val="9"/>
      <name val="Arial"/>
      <family val="2"/>
    </font>
    <font>
      <u val="single"/>
      <sz val="9"/>
      <color indexed="12"/>
      <name val="Arial"/>
      <family val="2"/>
    </font>
    <font>
      <i/>
      <sz val="9"/>
      <name val="Arial"/>
      <family val="2"/>
    </font>
    <font>
      <sz val="9"/>
      <name val="Tahoma"/>
      <family val="2"/>
    </font>
    <font>
      <b/>
      <sz val="9"/>
      <name val="Tahoma"/>
      <family val="2"/>
    </font>
    <font>
      <sz val="10.5"/>
      <color indexed="8"/>
      <name val="Arial"/>
      <family val="2"/>
    </font>
    <font>
      <b/>
      <sz val="10.5"/>
      <color indexed="8"/>
      <name val="Arial"/>
      <family val="2"/>
    </font>
    <font>
      <sz val="10"/>
      <color indexed="8"/>
      <name val="Calibri"/>
      <family val="2"/>
    </font>
    <font>
      <sz val="10"/>
      <name val="Calibri"/>
      <family val="2"/>
    </font>
    <font>
      <sz val="10"/>
      <color indexed="42"/>
      <name val="Arial"/>
      <family val="2"/>
    </font>
    <font>
      <sz val="9.5"/>
      <color indexed="42"/>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9"/>
      <name val="Arial"/>
      <family val="2"/>
    </font>
    <font>
      <b/>
      <sz val="11"/>
      <color indexed="9"/>
      <name val="Arial"/>
      <family val="2"/>
    </font>
    <font>
      <b/>
      <sz val="10"/>
      <color indexed="9"/>
      <name val="Arial"/>
      <family val="2"/>
    </font>
    <font>
      <i/>
      <sz val="10"/>
      <color indexed="17"/>
      <name val="Arial"/>
      <family val="2"/>
    </font>
    <font>
      <sz val="8"/>
      <name val="Tahoma"/>
      <family val="2"/>
    </font>
    <font>
      <b/>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4"/>
      <color theme="0"/>
      <name val="Arial"/>
      <family val="2"/>
    </font>
    <font>
      <sz val="10"/>
      <color theme="0"/>
      <name val="Arial"/>
      <family val="2"/>
    </font>
    <font>
      <b/>
      <sz val="11"/>
      <color theme="0"/>
      <name val="Arial"/>
      <family val="2"/>
    </font>
    <font>
      <b/>
      <sz val="10"/>
      <color theme="0"/>
      <name val="Arial"/>
      <family val="2"/>
    </font>
    <font>
      <b/>
      <sz val="16"/>
      <color theme="0"/>
      <name val="Arial"/>
      <family val="2"/>
    </font>
    <font>
      <sz val="10"/>
      <color rgb="FFFFFF00"/>
      <name val="Arial"/>
      <family val="2"/>
    </font>
    <font>
      <i/>
      <sz val="10"/>
      <color rgb="FF00B05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8"/>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rgb="FF333300"/>
        <bgColor indexed="64"/>
      </patternFill>
    </fill>
    <fill>
      <patternFill patternType="solid">
        <fgColor rgb="FF003300"/>
        <bgColor indexed="64"/>
      </patternFill>
    </fill>
    <fill>
      <patternFill patternType="solid">
        <fgColor theme="0"/>
        <bgColor indexed="64"/>
      </patternFill>
    </fill>
    <fill>
      <patternFill patternType="solid">
        <fgColor rgb="FFCC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thin"/>
      <right style="medium"/>
      <top style="medium"/>
      <bottom style="thin"/>
    </border>
    <border>
      <left style="thin"/>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5"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4"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94">
    <xf numFmtId="0" fontId="0" fillId="0" borderId="0" xfId="0" applyAlignment="1">
      <alignment/>
    </xf>
    <xf numFmtId="0" fontId="0" fillId="0" borderId="0" xfId="0" applyFill="1" applyAlignment="1">
      <alignment/>
    </xf>
    <xf numFmtId="0" fontId="11" fillId="0" borderId="0" xfId="0" applyFont="1" applyAlignment="1">
      <alignment/>
    </xf>
    <xf numFmtId="0" fontId="10" fillId="0" borderId="0" xfId="0" applyFont="1" applyFill="1" applyBorder="1" applyAlignment="1">
      <alignment horizontal="center"/>
    </xf>
    <xf numFmtId="0" fontId="10" fillId="0" borderId="10" xfId="0" applyFont="1" applyFill="1" applyBorder="1" applyAlignment="1">
      <alignment horizontal="center"/>
    </xf>
    <xf numFmtId="0" fontId="10" fillId="0" borderId="11" xfId="0" applyFont="1" applyFill="1" applyBorder="1" applyAlignment="1">
      <alignment horizontal="center"/>
    </xf>
    <xf numFmtId="0" fontId="3" fillId="0" borderId="0" xfId="0" applyFont="1" applyAlignment="1">
      <alignment/>
    </xf>
    <xf numFmtId="0" fontId="3" fillId="0" borderId="12" xfId="0" applyFont="1" applyBorder="1" applyAlignment="1">
      <alignment/>
    </xf>
    <xf numFmtId="0" fontId="3" fillId="0" borderId="0" xfId="0" applyFont="1" applyBorder="1" applyAlignment="1">
      <alignment/>
    </xf>
    <xf numFmtId="0" fontId="17" fillId="0" borderId="0" xfId="0" applyFont="1" applyBorder="1" applyAlignment="1">
      <alignment/>
    </xf>
    <xf numFmtId="0" fontId="16" fillId="0" borderId="0" xfId="0" applyFont="1" applyBorder="1" applyAlignment="1">
      <alignment/>
    </xf>
    <xf numFmtId="0" fontId="0" fillId="0" borderId="0" xfId="0" applyFont="1" applyBorder="1" applyAlignment="1">
      <alignment/>
    </xf>
    <xf numFmtId="0" fontId="0" fillId="0" borderId="0" xfId="0" applyFont="1" applyAlignment="1">
      <alignment/>
    </xf>
    <xf numFmtId="175" fontId="0" fillId="0" borderId="0" xfId="0" applyNumberFormat="1" applyFont="1" applyBorder="1" applyAlignment="1">
      <alignment horizontal="center"/>
    </xf>
    <xf numFmtId="0" fontId="0" fillId="33" borderId="0" xfId="0" applyFill="1" applyAlignment="1" applyProtection="1">
      <alignment/>
      <protection hidden="1"/>
    </xf>
    <xf numFmtId="0" fontId="6" fillId="33" borderId="0" xfId="0" applyFont="1" applyFill="1" applyAlignment="1" applyProtection="1">
      <alignment/>
      <protection hidden="1"/>
    </xf>
    <xf numFmtId="0" fontId="0" fillId="0" borderId="0" xfId="0" applyAlignment="1" applyProtection="1">
      <alignment/>
      <protection hidden="1"/>
    </xf>
    <xf numFmtId="0" fontId="14" fillId="33" borderId="0" xfId="0" applyFont="1" applyFill="1" applyAlignment="1" applyProtection="1">
      <alignment/>
      <protection hidden="1"/>
    </xf>
    <xf numFmtId="0" fontId="7" fillId="33" borderId="0" xfId="0" applyFont="1" applyFill="1" applyAlignment="1" applyProtection="1">
      <alignment/>
      <protection hidden="1"/>
    </xf>
    <xf numFmtId="0" fontId="15" fillId="33" borderId="0" xfId="0" applyFont="1" applyFill="1" applyAlignment="1" applyProtection="1">
      <alignment/>
      <protection hidden="1"/>
    </xf>
    <xf numFmtId="0" fontId="3" fillId="33" borderId="0" xfId="0" applyFont="1" applyFill="1" applyAlignment="1" applyProtection="1">
      <alignment/>
      <protection hidden="1"/>
    </xf>
    <xf numFmtId="0" fontId="0" fillId="0" borderId="0" xfId="0" applyFill="1" applyAlignment="1" applyProtection="1">
      <alignment/>
      <protection hidden="1"/>
    </xf>
    <xf numFmtId="0" fontId="6" fillId="0" borderId="0" xfId="0" applyFont="1" applyFill="1" applyAlignment="1" applyProtection="1">
      <alignment/>
      <protection hidden="1"/>
    </xf>
    <xf numFmtId="0" fontId="1" fillId="0" borderId="0" xfId="0" applyFont="1" applyAlignment="1" applyProtection="1">
      <alignment/>
      <protection hidden="1"/>
    </xf>
    <xf numFmtId="0" fontId="19" fillId="0" borderId="0" xfId="0" applyFont="1" applyAlignment="1" applyProtection="1">
      <alignment horizontal="center"/>
      <protection hidden="1"/>
    </xf>
    <xf numFmtId="1" fontId="12" fillId="34" borderId="13" xfId="0" applyNumberFormat="1" applyFont="1" applyFill="1" applyBorder="1" applyAlignment="1" applyProtection="1">
      <alignment horizontal="center"/>
      <protection hidden="1"/>
    </xf>
    <xf numFmtId="1" fontId="12" fillId="34" borderId="14" xfId="0" applyNumberFormat="1"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12" fillId="34" borderId="15" xfId="0" applyFont="1" applyFill="1" applyBorder="1" applyAlignment="1" applyProtection="1">
      <alignment horizontal="center"/>
      <protection hidden="1"/>
    </xf>
    <xf numFmtId="0" fontId="12" fillId="34" borderId="16" xfId="0" applyFont="1" applyFill="1" applyBorder="1" applyAlignment="1" applyProtection="1">
      <alignment horizontal="center"/>
      <protection hidden="1"/>
    </xf>
    <xf numFmtId="0" fontId="12" fillId="34" borderId="17" xfId="0" applyFont="1" applyFill="1" applyBorder="1" applyAlignment="1" applyProtection="1">
      <alignment horizontal="center" wrapText="1"/>
      <protection hidden="1"/>
    </xf>
    <xf numFmtId="1" fontId="13" fillId="0" borderId="15" xfId="0" applyNumberFormat="1" applyFont="1" applyBorder="1" applyAlignment="1" applyProtection="1">
      <alignment horizontal="center"/>
      <protection hidden="1"/>
    </xf>
    <xf numFmtId="175" fontId="13" fillId="0" borderId="16" xfId="0" applyNumberFormat="1" applyFont="1" applyBorder="1" applyAlignment="1" applyProtection="1">
      <alignment horizontal="center"/>
      <protection hidden="1"/>
    </xf>
    <xf numFmtId="1" fontId="13" fillId="35" borderId="17" xfId="0" applyNumberFormat="1" applyFont="1" applyFill="1" applyBorder="1" applyAlignment="1" applyProtection="1">
      <alignment horizontal="center"/>
      <protection hidden="1"/>
    </xf>
    <xf numFmtId="1" fontId="18" fillId="0" borderId="15" xfId="0" applyNumberFormat="1" applyFont="1" applyBorder="1" applyAlignment="1" applyProtection="1">
      <alignment horizontal="center"/>
      <protection hidden="1"/>
    </xf>
    <xf numFmtId="175" fontId="18" fillId="0" borderId="16" xfId="0" applyNumberFormat="1" applyFont="1" applyBorder="1" applyAlignment="1" applyProtection="1">
      <alignment horizontal="center"/>
      <protection hidden="1"/>
    </xf>
    <xf numFmtId="1" fontId="18" fillId="35" borderId="17" xfId="0" applyNumberFormat="1" applyFont="1" applyFill="1" applyBorder="1" applyAlignment="1" applyProtection="1">
      <alignment horizontal="center"/>
      <protection hidden="1"/>
    </xf>
    <xf numFmtId="1" fontId="13" fillId="0" borderId="18" xfId="0" applyNumberFormat="1" applyFont="1" applyBorder="1" applyAlignment="1" applyProtection="1">
      <alignment horizontal="center"/>
      <protection hidden="1"/>
    </xf>
    <xf numFmtId="175" fontId="13" fillId="0" borderId="19" xfId="0" applyNumberFormat="1" applyFont="1" applyBorder="1" applyAlignment="1" applyProtection="1">
      <alignment horizontal="center"/>
      <protection hidden="1"/>
    </xf>
    <xf numFmtId="1" fontId="13" fillId="35" borderId="14" xfId="0" applyNumberFormat="1" applyFont="1" applyFill="1" applyBorder="1" applyAlignment="1" applyProtection="1">
      <alignment horizontal="center"/>
      <protection hidden="1"/>
    </xf>
    <xf numFmtId="0" fontId="10" fillId="0" borderId="0" xfId="0" applyFont="1" applyAlignment="1" applyProtection="1">
      <alignment/>
      <protection hidden="1"/>
    </xf>
    <xf numFmtId="0" fontId="0" fillId="0" borderId="0" xfId="0" applyFont="1" applyAlignment="1">
      <alignment horizontal="left"/>
    </xf>
    <xf numFmtId="0" fontId="0" fillId="0" borderId="20" xfId="0" applyFont="1" applyBorder="1" applyAlignment="1">
      <alignment/>
    </xf>
    <xf numFmtId="0" fontId="0" fillId="0" borderId="21" xfId="0" applyFont="1" applyBorder="1" applyAlignment="1">
      <alignment/>
    </xf>
    <xf numFmtId="175" fontId="0" fillId="0" borderId="0" xfId="0" applyNumberFormat="1" applyFont="1" applyBorder="1" applyAlignment="1">
      <alignment horizontal="left"/>
    </xf>
    <xf numFmtId="175" fontId="0" fillId="0" borderId="0" xfId="0" applyNumberFormat="1" applyFont="1" applyFill="1" applyBorder="1" applyAlignment="1">
      <alignment horizontal="center"/>
    </xf>
    <xf numFmtId="0" fontId="0" fillId="0" borderId="21" xfId="0" applyFont="1" applyFill="1" applyBorder="1" applyAlignment="1">
      <alignment/>
    </xf>
    <xf numFmtId="0" fontId="0" fillId="0" borderId="0" xfId="0" applyFont="1" applyFill="1" applyAlignment="1">
      <alignment/>
    </xf>
    <xf numFmtId="174" fontId="0" fillId="0" borderId="0" xfId="0" applyNumberFormat="1" applyFont="1" applyBorder="1" applyAlignment="1">
      <alignment/>
    </xf>
    <xf numFmtId="0" fontId="0" fillId="0" borderId="0" xfId="0" applyFont="1" applyBorder="1" applyAlignment="1">
      <alignment horizontal="left"/>
    </xf>
    <xf numFmtId="0" fontId="10" fillId="0" borderId="0" xfId="0" applyFont="1" applyBorder="1" applyAlignment="1">
      <alignment horizontal="center"/>
    </xf>
    <xf numFmtId="0" fontId="10" fillId="0" borderId="22" xfId="0" applyFont="1" applyFill="1" applyBorder="1" applyAlignment="1">
      <alignment horizontal="left"/>
    </xf>
    <xf numFmtId="0" fontId="10" fillId="0" borderId="11" xfId="0" applyFont="1" applyFill="1" applyBorder="1" applyAlignment="1">
      <alignment horizontal="left"/>
    </xf>
    <xf numFmtId="0" fontId="10" fillId="0" borderId="23" xfId="0" applyFont="1" applyFill="1" applyBorder="1" applyAlignment="1">
      <alignment horizontal="center"/>
    </xf>
    <xf numFmtId="0" fontId="10" fillId="0" borderId="24" xfId="0" applyFont="1" applyFill="1" applyBorder="1" applyAlignment="1">
      <alignment horizontal="center"/>
    </xf>
    <xf numFmtId="0" fontId="10" fillId="0" borderId="24" xfId="0" applyFont="1" applyFill="1" applyBorder="1" applyAlignment="1">
      <alignment horizontal="left"/>
    </xf>
    <xf numFmtId="0" fontId="0" fillId="0" borderId="0" xfId="0" applyAlignment="1">
      <alignment horizontal="left" indent="1"/>
    </xf>
    <xf numFmtId="0" fontId="0" fillId="0" borderId="0" xfId="0" applyFont="1" applyAlignment="1">
      <alignment wrapText="1"/>
    </xf>
    <xf numFmtId="0" fontId="0" fillId="0" borderId="0" xfId="0" applyFont="1" applyAlignment="1">
      <alignment horizontal="left" wrapText="1"/>
    </xf>
    <xf numFmtId="0" fontId="0" fillId="0" borderId="0" xfId="0" applyFont="1" applyAlignment="1">
      <alignment vertical="center" wrapText="1"/>
    </xf>
    <xf numFmtId="0" fontId="0" fillId="0" borderId="0" xfId="0" applyFont="1" applyAlignment="1">
      <alignment horizontal="left" wrapText="1" indent="1"/>
    </xf>
    <xf numFmtId="0" fontId="21" fillId="0" borderId="0" xfId="0" applyFont="1" applyBorder="1" applyAlignment="1">
      <alignment/>
    </xf>
    <xf numFmtId="0" fontId="22" fillId="0" borderId="0" xfId="53" applyFont="1" applyBorder="1" applyAlignment="1" applyProtection="1">
      <alignment/>
      <protection/>
    </xf>
    <xf numFmtId="0" fontId="0" fillId="0" borderId="10" xfId="0" applyFont="1" applyBorder="1" applyAlignment="1">
      <alignment/>
    </xf>
    <xf numFmtId="0" fontId="0" fillId="0" borderId="25" xfId="0" applyFont="1" applyBorder="1" applyAlignment="1">
      <alignment/>
    </xf>
    <xf numFmtId="175" fontId="0" fillId="0" borderId="10" xfId="0" applyNumberFormat="1" applyFont="1" applyBorder="1" applyAlignment="1">
      <alignment horizontal="center"/>
    </xf>
    <xf numFmtId="174" fontId="0" fillId="0" borderId="11" xfId="0" applyNumberFormat="1" applyFont="1" applyBorder="1" applyAlignment="1">
      <alignment horizontal="center"/>
    </xf>
    <xf numFmtId="175" fontId="0" fillId="0" borderId="11" xfId="0" applyNumberFormat="1" applyFont="1" applyBorder="1" applyAlignment="1">
      <alignment horizontal="center"/>
    </xf>
    <xf numFmtId="175" fontId="0" fillId="0" borderId="11" xfId="0" applyNumberFormat="1" applyFont="1" applyBorder="1" applyAlignment="1">
      <alignment horizontal="left"/>
    </xf>
    <xf numFmtId="0" fontId="21" fillId="0" borderId="0" xfId="0" applyFont="1" applyBorder="1" applyAlignment="1">
      <alignment vertical="center" readingOrder="1"/>
    </xf>
    <xf numFmtId="0" fontId="21" fillId="0" borderId="0" xfId="0" applyFont="1" applyAlignment="1">
      <alignment/>
    </xf>
    <xf numFmtId="0" fontId="0" fillId="0" borderId="0" xfId="0" applyFont="1" applyFill="1" applyBorder="1" applyAlignment="1">
      <alignment/>
    </xf>
    <xf numFmtId="174" fontId="0" fillId="0" borderId="0" xfId="0" applyNumberFormat="1" applyFont="1" applyFill="1" applyBorder="1" applyAlignment="1">
      <alignment horizontal="center"/>
    </xf>
    <xf numFmtId="175" fontId="0" fillId="0" borderId="0" xfId="0" applyNumberFormat="1" applyFont="1" applyFill="1" applyBorder="1" applyAlignment="1">
      <alignment horizontal="left"/>
    </xf>
    <xf numFmtId="0" fontId="12" fillId="36" borderId="13" xfId="0" applyFont="1" applyFill="1" applyBorder="1" applyAlignment="1" applyProtection="1">
      <alignment horizontal="center"/>
      <protection hidden="1" locked="0"/>
    </xf>
    <xf numFmtId="0" fontId="12" fillId="36" borderId="17" xfId="0" applyFont="1" applyFill="1" applyBorder="1" applyAlignment="1" applyProtection="1">
      <alignment horizontal="center"/>
      <protection hidden="1" locked="0"/>
    </xf>
    <xf numFmtId="0" fontId="12" fillId="36" borderId="14" xfId="0" applyFont="1" applyFill="1" applyBorder="1" applyAlignment="1" applyProtection="1">
      <alignment horizontal="center"/>
      <protection hidden="1" locked="0"/>
    </xf>
    <xf numFmtId="0" fontId="73" fillId="0" borderId="0" xfId="0" applyFont="1" applyAlignment="1" applyProtection="1">
      <alignment/>
      <protection hidden="1"/>
    </xf>
    <xf numFmtId="0" fontId="4" fillId="0" borderId="0" xfId="53" applyBorder="1" applyAlignment="1" applyProtection="1">
      <alignment/>
      <protection/>
    </xf>
    <xf numFmtId="0" fontId="74" fillId="37" borderId="0" xfId="0" applyFont="1" applyFill="1" applyBorder="1" applyAlignment="1">
      <alignment vertical="center" readingOrder="1"/>
    </xf>
    <xf numFmtId="0" fontId="75" fillId="37" borderId="0" xfId="0" applyFont="1" applyFill="1" applyBorder="1" applyAlignment="1">
      <alignment/>
    </xf>
    <xf numFmtId="175" fontId="75" fillId="37" borderId="0" xfId="0" applyNumberFormat="1" applyFont="1" applyFill="1" applyBorder="1" applyAlignment="1">
      <alignment horizontal="center"/>
    </xf>
    <xf numFmtId="174" fontId="75" fillId="37" borderId="0" xfId="0" applyNumberFormat="1" applyFont="1" applyFill="1" applyBorder="1" applyAlignment="1">
      <alignment horizontal="center"/>
    </xf>
    <xf numFmtId="175" fontId="75" fillId="37" borderId="0" xfId="0" applyNumberFormat="1" applyFont="1" applyFill="1" applyBorder="1" applyAlignment="1">
      <alignment horizontal="left"/>
    </xf>
    <xf numFmtId="0" fontId="76" fillId="37" borderId="0" xfId="0" applyFont="1" applyFill="1" applyBorder="1" applyAlignment="1">
      <alignment vertical="center" readingOrder="1"/>
    </xf>
    <xf numFmtId="0" fontId="77" fillId="37" borderId="0" xfId="0" applyFont="1" applyFill="1" applyBorder="1" applyAlignment="1">
      <alignment/>
    </xf>
    <xf numFmtId="0" fontId="77" fillId="37" borderId="0" xfId="0" applyFont="1" applyFill="1" applyAlignment="1">
      <alignment/>
    </xf>
    <xf numFmtId="174" fontId="75" fillId="37" borderId="0" xfId="0" applyNumberFormat="1" applyFont="1" applyFill="1" applyBorder="1" applyAlignment="1">
      <alignment/>
    </xf>
    <xf numFmtId="0" fontId="75" fillId="37" borderId="0" xfId="0" applyFont="1" applyFill="1" applyBorder="1" applyAlignment="1">
      <alignment horizontal="left"/>
    </xf>
    <xf numFmtId="0" fontId="78" fillId="33" borderId="0" xfId="0" applyFont="1" applyFill="1" applyAlignment="1" applyProtection="1">
      <alignment/>
      <protection hidden="1"/>
    </xf>
    <xf numFmtId="0" fontId="9" fillId="0" borderId="16" xfId="0" applyFont="1" applyFill="1" applyBorder="1" applyAlignment="1" applyProtection="1">
      <alignment/>
      <protection hidden="1"/>
    </xf>
    <xf numFmtId="175" fontId="9" fillId="0" borderId="16" xfId="0" applyNumberFormat="1" applyFont="1" applyFill="1" applyBorder="1" applyAlignment="1" applyProtection="1">
      <alignment horizontal="center"/>
      <protection hidden="1"/>
    </xf>
    <xf numFmtId="0" fontId="9" fillId="0" borderId="16" xfId="0" applyFont="1" applyFill="1" applyBorder="1" applyAlignment="1" applyProtection="1">
      <alignment horizontal="center"/>
      <protection hidden="1"/>
    </xf>
    <xf numFmtId="0" fontId="0" fillId="0" borderId="16" xfId="0" applyFill="1" applyBorder="1" applyAlignment="1">
      <alignment/>
    </xf>
    <xf numFmtId="0" fontId="0" fillId="0" borderId="16" xfId="0" applyFill="1" applyBorder="1" applyAlignment="1">
      <alignment horizontal="center"/>
    </xf>
    <xf numFmtId="1" fontId="0" fillId="0" borderId="16" xfId="0" applyNumberFormat="1" applyFill="1" applyBorder="1" applyAlignment="1">
      <alignment horizontal="center"/>
    </xf>
    <xf numFmtId="0" fontId="0" fillId="0" borderId="0" xfId="0" applyFill="1" applyAlignment="1">
      <alignment horizontal="left"/>
    </xf>
    <xf numFmtId="0" fontId="2" fillId="0" borderId="16" xfId="0" applyFont="1" applyFill="1" applyBorder="1" applyAlignment="1">
      <alignment/>
    </xf>
    <xf numFmtId="1" fontId="0" fillId="0" borderId="16" xfId="0" applyNumberFormat="1" applyFill="1" applyBorder="1" applyAlignment="1">
      <alignment/>
    </xf>
    <xf numFmtId="175" fontId="0" fillId="0" borderId="16" xfId="0" applyNumberFormat="1" applyFill="1" applyBorder="1" applyAlignment="1">
      <alignment horizontal="center"/>
    </xf>
    <xf numFmtId="175" fontId="0" fillId="0" borderId="0" xfId="0" applyNumberFormat="1" applyFill="1" applyAlignment="1">
      <alignment/>
    </xf>
    <xf numFmtId="175" fontId="0" fillId="0" borderId="0" xfId="0" applyNumberFormat="1" applyFill="1" applyAlignment="1">
      <alignment horizontal="center"/>
    </xf>
    <xf numFmtId="1" fontId="0" fillId="0" borderId="0" xfId="0" applyNumberFormat="1" applyFill="1" applyAlignment="1">
      <alignment/>
    </xf>
    <xf numFmtId="0" fontId="8" fillId="0" borderId="16" xfId="0" applyFont="1" applyFill="1" applyBorder="1" applyAlignment="1">
      <alignment horizontal="center"/>
    </xf>
    <xf numFmtId="0" fontId="8" fillId="0" borderId="16" xfId="0" applyFont="1" applyFill="1" applyBorder="1" applyAlignment="1">
      <alignment horizontal="center" wrapText="1"/>
    </xf>
    <xf numFmtId="175" fontId="9" fillId="0" borderId="16" xfId="0" applyNumberFormat="1" applyFont="1" applyFill="1" applyBorder="1" applyAlignment="1">
      <alignment horizontal="center"/>
    </xf>
    <xf numFmtId="1" fontId="9" fillId="0" borderId="16" xfId="0" applyNumberFormat="1" applyFont="1" applyFill="1" applyBorder="1" applyAlignment="1">
      <alignment horizontal="center"/>
    </xf>
    <xf numFmtId="0" fontId="0" fillId="0" borderId="0" xfId="0" applyFill="1" applyAlignment="1">
      <alignment horizontal="right"/>
    </xf>
    <xf numFmtId="175" fontId="0" fillId="0" borderId="16" xfId="0" applyNumberFormat="1" applyFill="1" applyBorder="1" applyAlignment="1">
      <alignment/>
    </xf>
    <xf numFmtId="0" fontId="0" fillId="0" borderId="16" xfId="0" applyFont="1" applyFill="1" applyBorder="1" applyAlignment="1">
      <alignment/>
    </xf>
    <xf numFmtId="176" fontId="0" fillId="0" borderId="16" xfId="0" applyNumberFormat="1" applyFill="1" applyBorder="1" applyAlignment="1">
      <alignment horizontal="center"/>
    </xf>
    <xf numFmtId="0" fontId="0" fillId="0" borderId="16" xfId="0" applyFill="1" applyBorder="1" applyAlignment="1">
      <alignment horizontal="left"/>
    </xf>
    <xf numFmtId="0" fontId="0" fillId="0" borderId="10" xfId="0" applyFont="1" applyBorder="1" applyAlignment="1" applyProtection="1">
      <alignment/>
      <protection hidden="1"/>
    </xf>
    <xf numFmtId="0" fontId="0" fillId="0" borderId="0" xfId="0" applyBorder="1" applyAlignment="1" applyProtection="1">
      <alignment/>
      <protection hidden="1"/>
    </xf>
    <xf numFmtId="0" fontId="0" fillId="0" borderId="11" xfId="0" applyBorder="1" applyAlignment="1" applyProtection="1">
      <alignment/>
      <protection hidden="1"/>
    </xf>
    <xf numFmtId="1" fontId="0" fillId="0" borderId="0" xfId="0" applyNumberFormat="1" applyFont="1" applyBorder="1" applyAlignment="1">
      <alignment horizontal="center"/>
    </xf>
    <xf numFmtId="0" fontId="30" fillId="33" borderId="0" xfId="0" applyFont="1" applyFill="1" applyAlignment="1" applyProtection="1">
      <alignment/>
      <protection hidden="1"/>
    </xf>
    <xf numFmtId="0" fontId="31" fillId="33" borderId="0" xfId="0" applyFont="1" applyFill="1" applyAlignment="1" applyProtection="1">
      <alignment/>
      <protection hidden="1"/>
    </xf>
    <xf numFmtId="0" fontId="0" fillId="0" borderId="11" xfId="0" applyFont="1" applyBorder="1" applyAlignment="1">
      <alignment horizontal="center"/>
    </xf>
    <xf numFmtId="0" fontId="79" fillId="38" borderId="0" xfId="0" applyFont="1" applyFill="1" applyAlignment="1">
      <alignment/>
    </xf>
    <xf numFmtId="0" fontId="0" fillId="0" borderId="23" xfId="0" applyFont="1" applyFill="1" applyBorder="1" applyAlignment="1">
      <alignment horizontal="center"/>
    </xf>
    <xf numFmtId="0" fontId="0" fillId="0" borderId="23" xfId="0" applyFont="1" applyBorder="1" applyAlignment="1">
      <alignment horizontal="center"/>
    </xf>
    <xf numFmtId="0" fontId="0" fillId="0" borderId="26" xfId="0" applyFont="1" applyFill="1" applyBorder="1" applyAlignment="1">
      <alignment horizontal="center"/>
    </xf>
    <xf numFmtId="0" fontId="0" fillId="0" borderId="24" xfId="0" applyFont="1" applyFill="1" applyBorder="1" applyAlignment="1">
      <alignment horizontal="center"/>
    </xf>
    <xf numFmtId="0" fontId="0" fillId="39" borderId="10" xfId="0" applyFont="1" applyFill="1" applyBorder="1" applyAlignment="1">
      <alignment/>
    </xf>
    <xf numFmtId="0" fontId="0" fillId="39" borderId="25" xfId="0" applyFont="1" applyFill="1" applyBorder="1" applyAlignment="1">
      <alignment/>
    </xf>
    <xf numFmtId="0" fontId="0" fillId="39" borderId="11" xfId="0" applyFont="1" applyFill="1" applyBorder="1" applyAlignment="1">
      <alignment horizontal="center"/>
    </xf>
    <xf numFmtId="175" fontId="0" fillId="39" borderId="0" xfId="0" applyNumberFormat="1" applyFont="1" applyFill="1" applyBorder="1" applyAlignment="1">
      <alignment horizontal="center"/>
    </xf>
    <xf numFmtId="175" fontId="0" fillId="39" borderId="10" xfId="0" applyNumberFormat="1" applyFont="1" applyFill="1" applyBorder="1" applyAlignment="1">
      <alignment horizontal="center"/>
    </xf>
    <xf numFmtId="174" fontId="0" fillId="39" borderId="11" xfId="0" applyNumberFormat="1" applyFont="1" applyFill="1" applyBorder="1" applyAlignment="1">
      <alignment horizontal="center"/>
    </xf>
    <xf numFmtId="1" fontId="0" fillId="39" borderId="0" xfId="0" applyNumberFormat="1" applyFont="1" applyFill="1" applyBorder="1" applyAlignment="1">
      <alignment horizontal="center"/>
    </xf>
    <xf numFmtId="175" fontId="0" fillId="39" borderId="11" xfId="0" applyNumberFormat="1" applyFont="1" applyFill="1" applyBorder="1" applyAlignment="1">
      <alignment horizontal="center"/>
    </xf>
    <xf numFmtId="175" fontId="0" fillId="39" borderId="11" xfId="0" applyNumberFormat="1" applyFont="1" applyFill="1" applyBorder="1" applyAlignment="1">
      <alignment horizontal="left"/>
    </xf>
    <xf numFmtId="0" fontId="0" fillId="39" borderId="11" xfId="0" applyFont="1" applyFill="1" applyBorder="1" applyAlignment="1">
      <alignment/>
    </xf>
    <xf numFmtId="0" fontId="0" fillId="39" borderId="26" xfId="0" applyFont="1" applyFill="1" applyBorder="1" applyAlignment="1">
      <alignment/>
    </xf>
    <xf numFmtId="0" fontId="0" fillId="39" borderId="27" xfId="0" applyFont="1" applyFill="1" applyBorder="1" applyAlignment="1">
      <alignment/>
    </xf>
    <xf numFmtId="0" fontId="0" fillId="39" borderId="24" xfId="0" applyFont="1" applyFill="1" applyBorder="1" applyAlignment="1">
      <alignment/>
    </xf>
    <xf numFmtId="175" fontId="0" fillId="39" borderId="23" xfId="0" applyNumberFormat="1" applyFont="1" applyFill="1" applyBorder="1" applyAlignment="1">
      <alignment horizontal="center"/>
    </xf>
    <xf numFmtId="175" fontId="0" fillId="39" borderId="26" xfId="0" applyNumberFormat="1" applyFont="1" applyFill="1" applyBorder="1" applyAlignment="1">
      <alignment horizontal="center"/>
    </xf>
    <xf numFmtId="174" fontId="0" fillId="39" borderId="24" xfId="0" applyNumberFormat="1" applyFont="1" applyFill="1" applyBorder="1" applyAlignment="1">
      <alignment horizontal="center"/>
    </xf>
    <xf numFmtId="175" fontId="0" fillId="39" borderId="24" xfId="0" applyNumberFormat="1" applyFont="1" applyFill="1" applyBorder="1" applyAlignment="1">
      <alignment horizontal="center"/>
    </xf>
    <xf numFmtId="175" fontId="0" fillId="39" borderId="24" xfId="0" applyNumberFormat="1" applyFont="1" applyFill="1" applyBorder="1" applyAlignment="1">
      <alignment horizontal="left"/>
    </xf>
    <xf numFmtId="0" fontId="0" fillId="39" borderId="28" xfId="0" applyFont="1" applyFill="1" applyBorder="1" applyAlignment="1">
      <alignment/>
    </xf>
    <xf numFmtId="0" fontId="0" fillId="39" borderId="29" xfId="0" applyFont="1" applyFill="1" applyBorder="1" applyAlignment="1">
      <alignment/>
    </xf>
    <xf numFmtId="0" fontId="0" fillId="39" borderId="22" xfId="0" applyFont="1" applyFill="1" applyBorder="1" applyAlignment="1">
      <alignment horizontal="center"/>
    </xf>
    <xf numFmtId="175" fontId="0" fillId="39" borderId="30" xfId="0" applyNumberFormat="1" applyFont="1" applyFill="1" applyBorder="1" applyAlignment="1">
      <alignment horizontal="center"/>
    </xf>
    <xf numFmtId="175" fontId="0" fillId="39" borderId="28" xfId="0" applyNumberFormat="1" applyFont="1" applyFill="1" applyBorder="1" applyAlignment="1">
      <alignment horizontal="center"/>
    </xf>
    <xf numFmtId="174" fontId="0" fillId="39" borderId="22" xfId="0" applyNumberFormat="1" applyFont="1" applyFill="1" applyBorder="1" applyAlignment="1">
      <alignment horizontal="center"/>
    </xf>
    <xf numFmtId="1" fontId="0" fillId="39" borderId="30" xfId="0" applyNumberFormat="1" applyFont="1" applyFill="1" applyBorder="1" applyAlignment="1">
      <alignment horizontal="center"/>
    </xf>
    <xf numFmtId="175" fontId="0" fillId="39" borderId="22" xfId="0" applyNumberFormat="1" applyFont="1" applyFill="1" applyBorder="1" applyAlignment="1">
      <alignment horizontal="center"/>
    </xf>
    <xf numFmtId="175" fontId="0" fillId="39" borderId="22" xfId="0" applyNumberFormat="1" applyFont="1" applyFill="1" applyBorder="1" applyAlignment="1">
      <alignment horizontal="left"/>
    </xf>
    <xf numFmtId="0" fontId="0" fillId="40" borderId="10" xfId="0" applyFont="1" applyFill="1" applyBorder="1" applyAlignment="1">
      <alignment/>
    </xf>
    <xf numFmtId="0" fontId="0" fillId="40" borderId="25" xfId="0" applyFont="1" applyFill="1" applyBorder="1" applyAlignment="1">
      <alignment/>
    </xf>
    <xf numFmtId="0" fontId="0" fillId="40" borderId="11" xfId="0" applyFont="1" applyFill="1" applyBorder="1" applyAlignment="1">
      <alignment horizontal="center"/>
    </xf>
    <xf numFmtId="175" fontId="0" fillId="40" borderId="0" xfId="0" applyNumberFormat="1" applyFont="1" applyFill="1" applyBorder="1" applyAlignment="1">
      <alignment horizontal="center"/>
    </xf>
    <xf numFmtId="175" fontId="0" fillId="40" borderId="10" xfId="0" applyNumberFormat="1" applyFont="1" applyFill="1" applyBorder="1" applyAlignment="1">
      <alignment horizontal="center"/>
    </xf>
    <xf numFmtId="174" fontId="0" fillId="40" borderId="11" xfId="0" applyNumberFormat="1" applyFont="1" applyFill="1" applyBorder="1" applyAlignment="1">
      <alignment horizontal="center"/>
    </xf>
    <xf numFmtId="1" fontId="0" fillId="40" borderId="0" xfId="0" applyNumberFormat="1" applyFont="1" applyFill="1" applyBorder="1" applyAlignment="1">
      <alignment horizontal="center"/>
    </xf>
    <xf numFmtId="175" fontId="0" fillId="40" borderId="11" xfId="0" applyNumberFormat="1" applyFont="1" applyFill="1" applyBorder="1" applyAlignment="1">
      <alignment horizontal="center"/>
    </xf>
    <xf numFmtId="175" fontId="0" fillId="40" borderId="11" xfId="0" applyNumberFormat="1" applyFont="1" applyFill="1" applyBorder="1" applyAlignment="1">
      <alignment horizontal="left"/>
    </xf>
    <xf numFmtId="0" fontId="80" fillId="0" borderId="26" xfId="0" applyFont="1" applyBorder="1" applyAlignment="1" applyProtection="1">
      <alignment wrapText="1"/>
      <protection hidden="1"/>
    </xf>
    <xf numFmtId="0" fontId="80" fillId="0" borderId="23" xfId="0" applyFont="1" applyBorder="1" applyAlignment="1" applyProtection="1">
      <alignment wrapText="1"/>
      <protection hidden="1"/>
    </xf>
    <xf numFmtId="0" fontId="80" fillId="0" borderId="24" xfId="0" applyFont="1" applyBorder="1" applyAlignment="1" applyProtection="1">
      <alignment wrapText="1"/>
      <protection hidden="1"/>
    </xf>
    <xf numFmtId="0" fontId="0" fillId="0" borderId="28" xfId="0" applyBorder="1" applyAlignment="1" applyProtection="1">
      <alignment vertical="top" wrapText="1"/>
      <protection hidden="1"/>
    </xf>
    <xf numFmtId="0" fontId="0" fillId="0" borderId="30" xfId="0" applyBorder="1" applyAlignment="1" applyProtection="1">
      <alignment vertical="top" wrapText="1"/>
      <protection hidden="1"/>
    </xf>
    <xf numFmtId="0" fontId="0" fillId="0" borderId="22" xfId="0" applyBorder="1" applyAlignment="1" applyProtection="1">
      <alignment vertical="top" wrapText="1"/>
      <protection hidden="1"/>
    </xf>
    <xf numFmtId="0" fontId="13" fillId="34" borderId="18" xfId="0" applyFont="1" applyFill="1" applyBorder="1" applyAlignment="1" applyProtection="1">
      <alignment horizontal="right"/>
      <protection hidden="1"/>
    </xf>
    <xf numFmtId="0" fontId="13" fillId="34" borderId="19" xfId="0" applyFont="1" applyFill="1" applyBorder="1" applyAlignment="1" applyProtection="1">
      <alignment horizontal="right"/>
      <protection hidden="1"/>
    </xf>
    <xf numFmtId="0" fontId="12" fillId="34" borderId="31" xfId="0" applyFont="1" applyFill="1" applyBorder="1" applyAlignment="1" applyProtection="1">
      <alignment horizontal="center"/>
      <protection hidden="1"/>
    </xf>
    <xf numFmtId="0" fontId="12" fillId="34" borderId="32" xfId="0" applyFont="1" applyFill="1" applyBorder="1" applyAlignment="1" applyProtection="1">
      <alignment horizontal="center"/>
      <protection hidden="1"/>
    </xf>
    <xf numFmtId="0" fontId="12" fillId="34" borderId="33" xfId="0" applyFont="1" applyFill="1" applyBorder="1" applyAlignment="1" applyProtection="1">
      <alignment horizontal="center"/>
      <protection hidden="1"/>
    </xf>
    <xf numFmtId="0" fontId="13" fillId="34" borderId="34" xfId="0" applyFont="1" applyFill="1" applyBorder="1" applyAlignment="1" applyProtection="1">
      <alignment horizontal="right"/>
      <protection hidden="1"/>
    </xf>
    <xf numFmtId="0" fontId="13" fillId="0" borderId="35" xfId="0" applyFont="1" applyBorder="1" applyAlignment="1" applyProtection="1">
      <alignment/>
      <protection hidden="1"/>
    </xf>
    <xf numFmtId="0" fontId="13" fillId="34" borderId="15" xfId="0" applyFont="1" applyFill="1" applyBorder="1" applyAlignment="1" applyProtection="1">
      <alignment horizontal="right"/>
      <protection hidden="1"/>
    </xf>
    <xf numFmtId="0" fontId="13" fillId="0" borderId="16" xfId="0" applyFont="1" applyBorder="1" applyAlignment="1" applyProtection="1">
      <alignment/>
      <protection hidden="1"/>
    </xf>
    <xf numFmtId="0" fontId="13" fillId="34" borderId="35" xfId="0" applyFont="1" applyFill="1" applyBorder="1" applyAlignment="1" applyProtection="1">
      <alignment horizontal="right"/>
      <protection hidden="1"/>
    </xf>
    <xf numFmtId="0" fontId="78" fillId="33" borderId="0" xfId="0" applyFont="1" applyFill="1" applyAlignment="1" applyProtection="1">
      <alignment vertical="center"/>
      <protection hidden="1"/>
    </xf>
    <xf numFmtId="0" fontId="78" fillId="33" borderId="23" xfId="0" applyFont="1" applyFill="1" applyBorder="1" applyAlignment="1" applyProtection="1">
      <alignment vertical="center"/>
      <protection hidden="1"/>
    </xf>
    <xf numFmtId="0" fontId="10" fillId="0" borderId="28" xfId="0" applyFont="1" applyFill="1" applyBorder="1" applyAlignment="1">
      <alignment horizontal="center"/>
    </xf>
    <xf numFmtId="0" fontId="10" fillId="0" borderId="30" xfId="0" applyFont="1" applyFill="1" applyBorder="1" applyAlignment="1">
      <alignment horizontal="center"/>
    </xf>
    <xf numFmtId="0" fontId="0" fillId="0" borderId="30" xfId="0" applyFont="1" applyFill="1" applyBorder="1" applyAlignment="1">
      <alignment horizontal="center"/>
    </xf>
    <xf numFmtId="0" fontId="0" fillId="0" borderId="30" xfId="0" applyFont="1" applyBorder="1" applyAlignment="1">
      <alignment horizontal="center"/>
    </xf>
    <xf numFmtId="0" fontId="0" fillId="0" borderId="22" xfId="0" applyFont="1" applyBorder="1" applyAlignment="1">
      <alignment horizontal="center"/>
    </xf>
    <xf numFmtId="0" fontId="10" fillId="0" borderId="22" xfId="0" applyFont="1" applyFill="1" applyBorder="1" applyAlignment="1">
      <alignment horizontal="center"/>
    </xf>
    <xf numFmtId="0" fontId="10" fillId="0" borderId="36" xfId="0" applyFont="1" applyFill="1" applyBorder="1" applyAlignment="1">
      <alignment wrapText="1"/>
    </xf>
    <xf numFmtId="0" fontId="0" fillId="0" borderId="36" xfId="0" applyFont="1" applyBorder="1" applyAlignment="1">
      <alignment wrapText="1"/>
    </xf>
    <xf numFmtId="0" fontId="10" fillId="0" borderId="16" xfId="0" applyFont="1" applyFill="1" applyBorder="1" applyAlignment="1">
      <alignment wrapText="1"/>
    </xf>
    <xf numFmtId="0" fontId="0" fillId="0" borderId="16" xfId="0" applyFont="1" applyBorder="1" applyAlignment="1">
      <alignment wrapText="1"/>
    </xf>
    <xf numFmtId="0" fontId="10" fillId="0" borderId="29" xfId="0" applyFont="1" applyFill="1" applyBorder="1" applyAlignment="1">
      <alignment horizontal="center" wrapText="1"/>
    </xf>
    <xf numFmtId="0" fontId="10" fillId="0" borderId="25" xfId="0" applyFont="1" applyFill="1" applyBorder="1" applyAlignment="1">
      <alignment horizontal="center" wrapText="1"/>
    </xf>
    <xf numFmtId="0" fontId="10" fillId="0" borderId="27" xfId="0" applyFont="1" applyFill="1" applyBorder="1" applyAlignment="1">
      <alignment horizontal="center" wrapText="1"/>
    </xf>
    <xf numFmtId="0" fontId="9" fillId="0" borderId="36" xfId="0" applyFont="1" applyFill="1" applyBorder="1" applyAlignment="1">
      <alignment horizontal="left"/>
    </xf>
    <xf numFmtId="0" fontId="9" fillId="0" borderId="37" xfId="0" applyFont="1" applyFill="1" applyBorder="1" applyAlignment="1">
      <alignment horizontal="left"/>
    </xf>
    <xf numFmtId="0" fontId="9" fillId="0" borderId="38" xfId="0" applyFont="1"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75"/>
          <c:y val="0.031"/>
          <c:w val="0.89225"/>
          <c:h val="0.860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3300"/>
              </a:solidFill>
              <a:ln>
                <a:solidFill>
                  <a:srgbClr val="003300"/>
                </a:solidFill>
              </a:ln>
            </c:spPr>
          </c:marker>
          <c:cat>
            <c:numRef>
              <c:f>'Background Calcs'!$G$15:$G$21</c:f>
              <c:numCache>
                <c:ptCount val="7"/>
                <c:pt idx="0">
                  <c:v>14.66666666666667</c:v>
                </c:pt>
                <c:pt idx="1">
                  <c:v>15.77777777777778</c:v>
                </c:pt>
                <c:pt idx="2">
                  <c:v>16.888888888888893</c:v>
                </c:pt>
                <c:pt idx="3">
                  <c:v>18.000000000000004</c:v>
                </c:pt>
                <c:pt idx="4">
                  <c:v>19.111111111111114</c:v>
                </c:pt>
                <c:pt idx="5">
                  <c:v>20.222222222222225</c:v>
                </c:pt>
                <c:pt idx="6">
                  <c:v>21.333333333333336</c:v>
                </c:pt>
              </c:numCache>
            </c:numRef>
          </c:cat>
          <c:val>
            <c:numRef>
              <c:f>Model!$D$16:$D$22</c:f>
              <c:numCache/>
            </c:numRef>
          </c:val>
          <c:smooth val="0"/>
        </c:ser>
        <c:ser>
          <c:idx val="1"/>
          <c:order val="1"/>
          <c:tx>
            <c:v>?</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50" b="1" i="0" u="none" baseline="0">
                    <a:solidFill>
                      <a:srgbClr val="000000"/>
                    </a:solidFill>
                    <a:latin typeface="Arial"/>
                    <a:ea typeface="Arial"/>
                    <a:cs typeface="Arial"/>
                  </a:defRPr>
                </a:pPr>
              </a:p>
            </c:txPr>
            <c:showLegendKey val="0"/>
            <c:showVal val="0"/>
            <c:showBubbleSize val="0"/>
            <c:showCatName val="0"/>
            <c:showSerName val="1"/>
            <c:showLeaderLines val="1"/>
            <c:showPercent val="0"/>
          </c:dLbls>
          <c:val>
            <c:numRef>
              <c:f>'Background Calcs'!$E$33:$E$39</c:f>
              <c:numCache>
                <c:ptCount val="7"/>
                <c:pt idx="0">
                  <c:v>0</c:v>
                </c:pt>
                <c:pt idx="1">
                  <c:v>0</c:v>
                </c:pt>
                <c:pt idx="2">
                  <c:v>0</c:v>
                </c:pt>
                <c:pt idx="3">
                  <c:v>0</c:v>
                </c:pt>
                <c:pt idx="4">
                  <c:v>0</c:v>
                </c:pt>
                <c:pt idx="5">
                  <c:v>0</c:v>
                </c:pt>
                <c:pt idx="6">
                  <c:v>0</c:v>
                </c:pt>
              </c:numCache>
            </c:numRef>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FF00"/>
                </a:solidFill>
              </a:ln>
            </c:spPr>
          </c:marker>
          <c:val>
            <c:numRef>
              <c:f>'Background Calcs'!$H$33:$H$36</c:f>
              <c:numCache>
                <c:ptCount val="4"/>
                <c:pt idx="3">
                  <c:v>0</c:v>
                </c:pt>
              </c:numCache>
            </c:numRef>
          </c:val>
          <c:smooth val="0"/>
        </c:ser>
        <c:marker val="1"/>
        <c:axId val="57473384"/>
        <c:axId val="47498409"/>
      </c:lineChart>
      <c:catAx>
        <c:axId val="57473384"/>
        <c:scaling>
          <c:orientation val="minMax"/>
        </c:scaling>
        <c:axPos val="b"/>
        <c:title>
          <c:tx>
            <c:strRef>
              <c:f>'Background Calcs'!$G$14</c:f>
            </c:strRef>
          </c:tx>
          <c:layout>
            <c:manualLayout>
              <c:xMode val="factor"/>
              <c:yMode val="factor"/>
              <c:x val="-0.01075"/>
              <c:y val="0.00075"/>
            </c:manualLayout>
          </c:layout>
          <c:overlay val="0"/>
          <c:spPr>
            <a:noFill/>
            <a:ln>
              <a:noFill/>
            </a:ln>
          </c:spPr>
          <c:txPr>
            <a:bodyPr vert="horz" rot="0"/>
            <a:lstStyle/>
            <a:p>
              <a:pPr>
                <a:defRPr lang="en-US" cap="none" sz="1050" b="0" i="0" u="none" baseline="0">
                  <a:solidFill>
                    <a:srgbClr val="000000"/>
                  </a:solidFill>
                  <a:latin typeface="Arial"/>
                  <a:ea typeface="Arial"/>
                  <a:cs typeface="Arial"/>
                </a:defRPr>
              </a:pPr>
            </a:p>
          </c:tx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7498409"/>
        <c:crosses val="autoZero"/>
        <c:auto val="1"/>
        <c:lblOffset val="100"/>
        <c:tickLblSkip val="1"/>
        <c:noMultiLvlLbl val="0"/>
      </c:catAx>
      <c:valAx>
        <c:axId val="47498409"/>
        <c:scaling>
          <c:orientation val="minMax"/>
          <c:min val="10"/>
        </c:scaling>
        <c:axPos val="l"/>
        <c:title>
          <c:tx>
            <c:rich>
              <a:bodyPr vert="horz" rot="-5400000" anchor="ctr"/>
              <a:lstStyle/>
              <a:p>
                <a:pPr algn="ctr">
                  <a:defRPr/>
                </a:pPr>
                <a:r>
                  <a:rPr lang="en-US" cap="none" sz="1050" b="0" i="0" u="none" baseline="0">
                    <a:solidFill>
                      <a:srgbClr val="000000"/>
                    </a:solidFill>
                    <a:latin typeface="Arial"/>
                    <a:ea typeface="Arial"/>
                    <a:cs typeface="Arial"/>
                  </a:rPr>
                  <a:t>Production time (days)</a:t>
                </a:r>
              </a:p>
            </c:rich>
          </c:tx>
          <c:layout>
            <c:manualLayout>
              <c:xMode val="factor"/>
              <c:yMode val="factor"/>
              <c:x val="-0.008"/>
              <c:y val="-0.001"/>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57473384"/>
        <c:crossesAt val="1"/>
        <c:crossBetween val="between"/>
        <c:dispUnits/>
      </c:valAx>
      <c:spPr>
        <a:solidFill>
          <a:srgbClr val="FFFFFF"/>
        </a:solidFill>
        <a:ln w="12700">
          <a:solidFill>
            <a:srgbClr val="808080"/>
          </a:solidFill>
        </a:ln>
      </c:spPr>
    </c:plotArea>
    <c:plotVisOnly val="1"/>
    <c:dispBlanksAs val="gap"/>
    <c:showDLblsOverMax val="0"/>
  </c:chart>
  <c:spPr>
    <a:solidFill>
      <a:srgbClr val="CCFFCC"/>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75"/>
          <c:y val="-0.0085"/>
          <c:w val="0.9135"/>
          <c:h val="0.908"/>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'Background Calcs'!$B$51:$B$57</c:f>
              <c:numCache/>
            </c:numRef>
          </c:xVal>
          <c:yVal>
            <c:numRef>
              <c:f>'Background Calcs'!$C$51:$C$57</c:f>
              <c:numCache/>
            </c:numRef>
          </c:yVal>
          <c:smooth val="0"/>
        </c:ser>
        <c:axId val="24832498"/>
        <c:axId val="22165891"/>
      </c:scatterChart>
      <c:valAx>
        <c:axId val="24832498"/>
        <c:scaling>
          <c:orientation val="minMax"/>
        </c:scaling>
        <c:axPos val="b"/>
        <c:title>
          <c:tx>
            <c:rich>
              <a:bodyPr vert="horz" rot="0" anchor="ctr"/>
              <a:lstStyle/>
              <a:p>
                <a:pPr algn="ctr">
                  <a:defRPr/>
                </a:pPr>
                <a:r>
                  <a:rPr lang="en-US" cap="none" sz="1000" b="1" i="0" u="none" baseline="0">
                    <a:solidFill>
                      <a:srgbClr val="000000"/>
                    </a:solidFill>
                  </a:rPr>
                  <a:t>Temperature (C)</a:t>
                </a:r>
              </a:p>
            </c:rich>
          </c:tx>
          <c:layout>
            <c:manualLayout>
              <c:xMode val="factor"/>
              <c:yMode val="factor"/>
              <c:x val="-0.0085"/>
              <c:y val="-0.000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22165891"/>
        <c:crosses val="autoZero"/>
        <c:crossBetween val="midCat"/>
        <c:dispUnits/>
      </c:valAx>
      <c:valAx>
        <c:axId val="22165891"/>
        <c:scaling>
          <c:orientation val="minMax"/>
        </c:scaling>
        <c:axPos val="l"/>
        <c:title>
          <c:tx>
            <c:rich>
              <a:bodyPr vert="horz" rot="-5400000" anchor="ctr"/>
              <a:lstStyle/>
              <a:p>
                <a:pPr algn="ctr">
                  <a:defRPr/>
                </a:pPr>
                <a:r>
                  <a:rPr lang="en-US" cap="none" sz="1000" b="1" i="0" u="none" baseline="0">
                    <a:solidFill>
                      <a:srgbClr val="000000"/>
                    </a:solidFill>
                  </a:rPr>
                  <a:t>Days to Flower</a:t>
                </a:r>
              </a:p>
            </c:rich>
          </c:tx>
          <c:layout>
            <c:manualLayout>
              <c:xMode val="factor"/>
              <c:yMode val="factor"/>
              <c:x val="-0.00125"/>
              <c:y val="-0.001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483249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hyperlink" Target="../../../../AppData/Local/Microsoft/Windows/Temporary%20Internet%20Files/Content.Outlook/WL4X78SN/www.floriculturealliance.org" TargetMode="External" /><Relationship Id="rId4" Type="http://schemas.openxmlformats.org/officeDocument/2006/relationships/hyperlink" Target="../../../../AppData/Local/Microsoft/Windows/Temporary%20Internet%20Files/Content.Outlook/WL4X78SN/www.floriculturealliance.or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7667625</xdr:colOff>
      <xdr:row>0</xdr:row>
      <xdr:rowOff>47625</xdr:rowOff>
    </xdr:from>
    <xdr:to>
      <xdr:col>1</xdr:col>
      <xdr:colOff>10953750</xdr:colOff>
      <xdr:row>2</xdr:row>
      <xdr:rowOff>47625</xdr:rowOff>
    </xdr:to>
    <xdr:pic>
      <xdr:nvPicPr>
        <xdr:cNvPr id="1" name="Picture 1"/>
        <xdr:cNvPicPr preferRelativeResize="1">
          <a:picLocks noChangeAspect="1"/>
        </xdr:cNvPicPr>
      </xdr:nvPicPr>
      <xdr:blipFill>
        <a:blip r:embed="rId1"/>
        <a:stretch>
          <a:fillRect/>
        </a:stretch>
      </xdr:blipFill>
      <xdr:spPr>
        <a:xfrm>
          <a:off x="7848600" y="47625"/>
          <a:ext cx="328612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5</xdr:row>
      <xdr:rowOff>0</xdr:rowOff>
    </xdr:from>
    <xdr:to>
      <xdr:col>5</xdr:col>
      <xdr:colOff>4152900</xdr:colOff>
      <xdr:row>22</xdr:row>
      <xdr:rowOff>0</xdr:rowOff>
    </xdr:to>
    <xdr:graphicFrame>
      <xdr:nvGraphicFramePr>
        <xdr:cNvPr id="1" name="Chart 8"/>
        <xdr:cNvGraphicFramePr/>
      </xdr:nvGraphicFramePr>
      <xdr:xfrm>
        <a:off x="6610350" y="962025"/>
        <a:ext cx="4067175" cy="316230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847725</xdr:colOff>
      <xdr:row>0</xdr:row>
      <xdr:rowOff>66675</xdr:rowOff>
    </xdr:from>
    <xdr:to>
      <xdr:col>5</xdr:col>
      <xdr:colOff>4124325</xdr:colOff>
      <xdr:row>2</xdr:row>
      <xdr:rowOff>104775</xdr:rowOff>
    </xdr:to>
    <xdr:pic>
      <xdr:nvPicPr>
        <xdr:cNvPr id="2" name="Picture 2">
          <a:hlinkClick r:id="rId4"/>
        </xdr:cNvPr>
        <xdr:cNvPicPr preferRelativeResize="1">
          <a:picLocks noChangeAspect="1"/>
        </xdr:cNvPicPr>
      </xdr:nvPicPr>
      <xdr:blipFill>
        <a:blip r:embed="rId2"/>
        <a:stretch>
          <a:fillRect/>
        </a:stretch>
      </xdr:blipFill>
      <xdr:spPr>
        <a:xfrm>
          <a:off x="7372350" y="66675"/>
          <a:ext cx="327660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485775</xdr:colOff>
      <xdr:row>0</xdr:row>
      <xdr:rowOff>104775</xdr:rowOff>
    </xdr:from>
    <xdr:to>
      <xdr:col>18</xdr:col>
      <xdr:colOff>1524000</xdr:colOff>
      <xdr:row>2</xdr:row>
      <xdr:rowOff>66675</xdr:rowOff>
    </xdr:to>
    <xdr:pic>
      <xdr:nvPicPr>
        <xdr:cNvPr id="1" name="Picture 1"/>
        <xdr:cNvPicPr preferRelativeResize="1">
          <a:picLocks noChangeAspect="1"/>
        </xdr:cNvPicPr>
      </xdr:nvPicPr>
      <xdr:blipFill>
        <a:blip r:embed="rId1"/>
        <a:stretch>
          <a:fillRect/>
        </a:stretch>
      </xdr:blipFill>
      <xdr:spPr>
        <a:xfrm>
          <a:off x="12325350" y="104775"/>
          <a:ext cx="3286125"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40</xdr:row>
      <xdr:rowOff>152400</xdr:rowOff>
    </xdr:from>
    <xdr:to>
      <xdr:col>9</xdr:col>
      <xdr:colOff>295275</xdr:colOff>
      <xdr:row>57</xdr:row>
      <xdr:rowOff>142875</xdr:rowOff>
    </xdr:to>
    <xdr:graphicFrame>
      <xdr:nvGraphicFramePr>
        <xdr:cNvPr id="1" name="Chart 1"/>
        <xdr:cNvGraphicFramePr/>
      </xdr:nvGraphicFramePr>
      <xdr:xfrm>
        <a:off x="9239250" y="7000875"/>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ctahort.org/books/435/435_5.htm" TargetMode="External" /><Relationship Id="rId2" Type="http://schemas.openxmlformats.org/officeDocument/2006/relationships/hyperlink" Target="http://www.actahort.org/books/435/435_5.htm" TargetMode="External" /><Relationship Id="rId3" Type="http://schemas.openxmlformats.org/officeDocument/2006/relationships/hyperlink" Target="http://www.actahort.org/books/272/272_35.htm" TargetMode="External" /><Relationship Id="rId4" Type="http://schemas.openxmlformats.org/officeDocument/2006/relationships/hyperlink" Target="http://journal.ashspublications.org/cgi/content/abstract/115/4/644" TargetMode="External" /><Relationship Id="rId5" Type="http://schemas.openxmlformats.org/officeDocument/2006/relationships/hyperlink" Target="http://www.horticulture.umn.edu/Who_sWho/Faculty/JohnErwin/index.htm" TargetMode="External" /><Relationship Id="rId6" Type="http://schemas.openxmlformats.org/officeDocument/2006/relationships/hyperlink" Target="http://journal.ashspublications.org/cgi/content/abstract/118/6/747" TargetMode="External" /><Relationship Id="rId7" Type="http://schemas.openxmlformats.org/officeDocument/2006/relationships/hyperlink" Target="http://search.proquest.com.proxy2.cl.msu.edu/docview/304521370" TargetMode="External" /><Relationship Id="rId8" Type="http://schemas.openxmlformats.org/officeDocument/2006/relationships/hyperlink" Target="http://www.actahort.org/books/624/624_25.htm" TargetMode="External" /><Relationship Id="rId9" Type="http://schemas.openxmlformats.org/officeDocument/2006/relationships/hyperlink" Target="http://journal.ashspublications.org/cgi/content/abstract/132/3/283" TargetMode="External" /><Relationship Id="rId10" Type="http://schemas.openxmlformats.org/officeDocument/2006/relationships/hyperlink" Target="http://hortsci.ashspublications.org/cgi/content/abstract/36/4/664" TargetMode="External" /><Relationship Id="rId11" Type="http://schemas.openxmlformats.org/officeDocument/2006/relationships/hyperlink" Target="http://dx.doi.org/10.1016/0304-4238(96)00904-1" TargetMode="External" /><Relationship Id="rId12" Type="http://schemas.openxmlformats.org/officeDocument/2006/relationships/hyperlink" Target="http://journal.ashspublications.org/cgi/content/abstract/130/6/813" TargetMode="External" /><Relationship Id="rId13" Type="http://schemas.openxmlformats.org/officeDocument/2006/relationships/hyperlink" Target="http://www.lib.msu.edu/" TargetMode="External" /><Relationship Id="rId14" Type="http://schemas.openxmlformats.org/officeDocument/2006/relationships/hyperlink" Target="http://onlinelibrary.wiley.com/doi/10.1111/j.1744-7348.1999.tb05273.x/abstract" TargetMode="External" /><Relationship Id="rId15" Type="http://schemas.openxmlformats.org/officeDocument/2006/relationships/hyperlink" Target="http://hortsci.ashspublications.org/cgi/content/abstract/33/4/663" TargetMode="External" /><Relationship Id="rId16" Type="http://schemas.openxmlformats.org/officeDocument/2006/relationships/hyperlink" Target="http://search.proquest.com.proxy1.cl.msu.edu/docview/304932491" TargetMode="External" /><Relationship Id="rId17" Type="http://schemas.openxmlformats.org/officeDocument/2006/relationships/drawing" Target="../drawings/drawing3.xml" /><Relationship Id="rId1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3"/>
  <dimension ref="A1:C31"/>
  <sheetViews>
    <sheetView showGridLines="0" zoomScalePageLayoutView="0" workbookViewId="0" topLeftCell="A1">
      <selection activeCell="B3" sqref="B3"/>
    </sheetView>
  </sheetViews>
  <sheetFormatPr defaultColWidth="9.140625" defaultRowHeight="12.75"/>
  <cols>
    <col min="1" max="1" width="2.7109375" style="0" customWidth="1"/>
    <col min="2" max="2" width="164.7109375" style="0" customWidth="1"/>
  </cols>
  <sheetData>
    <row r="1" spans="1:2" ht="21" customHeight="1">
      <c r="A1" s="17"/>
      <c r="B1" s="17" t="s">
        <v>187</v>
      </c>
    </row>
    <row r="2" spans="1:2" ht="15" customHeight="1">
      <c r="A2" s="19"/>
      <c r="B2" s="116" t="s">
        <v>297</v>
      </c>
    </row>
    <row r="3" spans="1:2" ht="15" customHeight="1">
      <c r="A3" s="15"/>
      <c r="B3" s="15" t="s">
        <v>298</v>
      </c>
    </row>
    <row r="5" ht="12.75">
      <c r="B5" s="57" t="s">
        <v>205</v>
      </c>
    </row>
    <row r="6" ht="12.75">
      <c r="B6" s="57"/>
    </row>
    <row r="7" ht="25.5">
      <c r="B7" s="57" t="s">
        <v>222</v>
      </c>
    </row>
    <row r="8" ht="12.75">
      <c r="B8" s="57"/>
    </row>
    <row r="9" ht="25.5">
      <c r="B9" s="57" t="s">
        <v>215</v>
      </c>
    </row>
    <row r="10" ht="12.75">
      <c r="B10" s="57"/>
    </row>
    <row r="11" ht="12.75">
      <c r="B11" s="58" t="s">
        <v>216</v>
      </c>
    </row>
    <row r="12" spans="2:3" ht="12.75">
      <c r="B12" s="60" t="s">
        <v>214</v>
      </c>
      <c r="C12" s="56"/>
    </row>
    <row r="13" spans="2:3" ht="25.5">
      <c r="B13" s="60" t="s">
        <v>217</v>
      </c>
      <c r="C13" s="56"/>
    </row>
    <row r="14" spans="2:3" ht="12.75">
      <c r="B14" s="60" t="s">
        <v>218</v>
      </c>
      <c r="C14" s="56"/>
    </row>
    <row r="15" spans="2:3" ht="12.75">
      <c r="B15" s="60" t="s">
        <v>284</v>
      </c>
      <c r="C15" s="56"/>
    </row>
    <row r="16" spans="2:3" ht="12.75">
      <c r="B16" s="58"/>
      <c r="C16" s="56"/>
    </row>
    <row r="17" spans="2:3" ht="12.75">
      <c r="B17" s="57" t="s">
        <v>219</v>
      </c>
      <c r="C17" s="56"/>
    </row>
    <row r="18" spans="2:3" ht="12.75" customHeight="1">
      <c r="B18" s="58" t="s">
        <v>285</v>
      </c>
      <c r="C18" s="56"/>
    </row>
    <row r="19" spans="2:3" ht="12.75">
      <c r="B19" s="58"/>
      <c r="C19" s="56"/>
    </row>
    <row r="20" spans="2:3" ht="12.75">
      <c r="B20" s="57" t="s">
        <v>209</v>
      </c>
      <c r="C20" s="56"/>
    </row>
    <row r="21" spans="2:3" ht="12.75">
      <c r="B21" s="57" t="s">
        <v>208</v>
      </c>
      <c r="C21" s="56"/>
    </row>
    <row r="22" spans="2:3" ht="12.75">
      <c r="B22" s="60" t="s">
        <v>210</v>
      </c>
      <c r="C22" s="56"/>
    </row>
    <row r="23" spans="2:3" ht="12.75">
      <c r="B23" s="60" t="s">
        <v>211</v>
      </c>
      <c r="C23" s="56"/>
    </row>
    <row r="24" spans="2:3" ht="12.75">
      <c r="B24" s="60" t="s">
        <v>212</v>
      </c>
      <c r="C24" s="56"/>
    </row>
    <row r="25" spans="2:3" ht="12.75">
      <c r="B25" s="60" t="s">
        <v>213</v>
      </c>
      <c r="C25" s="56"/>
    </row>
    <row r="26" spans="2:3" ht="12.75">
      <c r="B26" s="60" t="s">
        <v>221</v>
      </c>
      <c r="C26" s="56"/>
    </row>
    <row r="27" spans="2:3" ht="12.75">
      <c r="B27" s="58"/>
      <c r="C27" s="56"/>
    </row>
    <row r="28" spans="2:3" ht="25.5">
      <c r="B28" s="58" t="s">
        <v>223</v>
      </c>
      <c r="C28" s="56"/>
    </row>
    <row r="29" spans="2:3" ht="12.75">
      <c r="B29" s="58"/>
      <c r="C29" s="56"/>
    </row>
    <row r="30" ht="12.75">
      <c r="B30" s="59" t="s">
        <v>207</v>
      </c>
    </row>
    <row r="31" ht="12.75">
      <c r="B31" s="12"/>
    </row>
  </sheetData>
  <sheetProtection/>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F28"/>
  <sheetViews>
    <sheetView showGridLines="0" tabSelected="1" zoomScale="90" zoomScaleNormal="90" zoomScalePageLayoutView="0" workbookViewId="0" topLeftCell="A1">
      <selection activeCell="D6" sqref="D6"/>
    </sheetView>
  </sheetViews>
  <sheetFormatPr defaultColWidth="9.140625" defaultRowHeight="12.75"/>
  <cols>
    <col min="1" max="1" width="1.7109375" style="16" customWidth="1"/>
    <col min="2" max="2" width="16.7109375" style="16" customWidth="1"/>
    <col min="3" max="3" width="20.7109375" style="16" customWidth="1"/>
    <col min="4" max="4" width="50.28125" style="16" customWidth="1"/>
    <col min="5" max="5" width="8.421875" style="16" customWidth="1"/>
    <col min="6" max="6" width="62.57421875" style="16" customWidth="1"/>
    <col min="7" max="16384" width="9.140625" style="16" customWidth="1"/>
  </cols>
  <sheetData>
    <row r="1" spans="1:6" ht="20.25">
      <c r="A1" s="14"/>
      <c r="B1" s="17" t="s">
        <v>187</v>
      </c>
      <c r="C1" s="18"/>
      <c r="D1" s="15"/>
      <c r="E1" s="15"/>
      <c r="F1" s="15"/>
    </row>
    <row r="2" spans="1:6" ht="12.75">
      <c r="A2" s="14"/>
      <c r="B2" s="117" t="s">
        <v>297</v>
      </c>
      <c r="C2" s="20"/>
      <c r="D2" s="15"/>
      <c r="E2" s="15"/>
      <c r="F2" s="15"/>
    </row>
    <row r="3" spans="1:6" ht="12.75">
      <c r="A3" s="14"/>
      <c r="B3" s="15" t="s">
        <v>303</v>
      </c>
      <c r="C3" s="15"/>
      <c r="D3" s="15"/>
      <c r="E3" s="15"/>
      <c r="F3" s="15"/>
    </row>
    <row r="4" spans="1:6" ht="12.75">
      <c r="A4" s="21"/>
      <c r="B4" s="22"/>
      <c r="C4" s="22"/>
      <c r="D4" s="22"/>
      <c r="E4" s="22"/>
      <c r="F4" s="22"/>
    </row>
    <row r="5" spans="2:4" ht="17.25" thickBot="1">
      <c r="B5" s="23"/>
      <c r="C5" s="23"/>
      <c r="D5" s="24" t="s">
        <v>256</v>
      </c>
    </row>
    <row r="6" spans="2:4" ht="15">
      <c r="B6" s="171" t="s">
        <v>162</v>
      </c>
      <c r="C6" s="172"/>
      <c r="D6" s="74" t="s">
        <v>302</v>
      </c>
    </row>
    <row r="7" spans="2:4" ht="15">
      <c r="B7" s="173" t="s">
        <v>220</v>
      </c>
      <c r="C7" s="174"/>
      <c r="D7" s="75">
        <v>70</v>
      </c>
    </row>
    <row r="8" spans="2:5" ht="15">
      <c r="B8" s="173" t="str">
        <f>CONCATENATE("Standard production temperature (°",LEFT(UPPER(D9)),"):")</f>
        <v>Standard production temperature (°C):</v>
      </c>
      <c r="C8" s="174"/>
      <c r="D8" s="75">
        <v>18</v>
      </c>
      <c r="E8" s="77">
        <f>IF(OR(AND(InputUnits="C",OR(D8&lt;5,D8&gt;35)),AND(InputUnits="F",OR(D8&lt;41,D8&gt;95))),"!!!","")</f>
      </c>
    </row>
    <row r="9" spans="2:5" ht="15.75" thickBot="1">
      <c r="B9" s="166" t="s">
        <v>1</v>
      </c>
      <c r="C9" s="167"/>
      <c r="D9" s="76" t="s">
        <v>25</v>
      </c>
      <c r="E9" s="77">
        <f>IF(AND(InputUnits&lt;&gt;"C",InputUnits&lt;&gt;"F"),"!!!","")</f>
      </c>
    </row>
    <row r="10" ht="13.5" thickBot="1"/>
    <row r="11" spans="2:4" ht="15">
      <c r="B11" s="171" t="str">
        <f>CONCATENATE("Base Temperature (°",TemperatureUnits,"):")</f>
        <v>Base Temperature (°C):</v>
      </c>
      <c r="C11" s="175"/>
      <c r="D11" s="25">
        <f>IF(BaseC&lt;0,"Well below experimental range",IF(TemperatureUnits="F",BaseF,BaseC))</f>
        <v>5.2</v>
      </c>
    </row>
    <row r="12" spans="2:5" ht="15.75" thickBot="1">
      <c r="B12" s="166" t="str">
        <f>CONCATENATE("Optimum Temperature (°",TemperatureUnits,"):")</f>
        <v>Optimum Temperature (°C):</v>
      </c>
      <c r="C12" s="167"/>
      <c r="D12" s="26" t="str">
        <f>IF(Topt&lt;&gt;"M",IF(TemperatureUnits="F",CONVERT(Topt,"C","F"),Topt),"N/A")</f>
        <v>N/A</v>
      </c>
      <c r="E12" s="27"/>
    </row>
    <row r="13" ht="13.5" thickBot="1"/>
    <row r="14" spans="2:4" ht="15">
      <c r="B14" s="168" t="s">
        <v>37</v>
      </c>
      <c r="C14" s="169"/>
      <c r="D14" s="170"/>
    </row>
    <row r="15" spans="2:4" ht="15">
      <c r="B15" s="28" t="s">
        <v>287</v>
      </c>
      <c r="C15" s="29" t="s">
        <v>286</v>
      </c>
      <c r="D15" s="30" t="s">
        <v>36</v>
      </c>
    </row>
    <row r="16" spans="2:4" ht="14.25">
      <c r="B16" s="31">
        <f>B17-2</f>
        <v>58.400000000000006</v>
      </c>
      <c r="C16" s="32">
        <f aca="true" t="shared" si="0" ref="C16:C22">CONVERT(B16,"F","C")</f>
        <v>14.66666666666667</v>
      </c>
      <c r="D16" s="33">
        <f>'Background Calcs'!D33</f>
        <v>94.64788732394365</v>
      </c>
    </row>
    <row r="17" spans="2:4" ht="14.25">
      <c r="B17" s="31">
        <f>B18-2</f>
        <v>60.400000000000006</v>
      </c>
      <c r="C17" s="32">
        <f t="shared" si="0"/>
        <v>15.77777777777778</v>
      </c>
      <c r="D17" s="33">
        <f>'Background Calcs'!D34</f>
        <v>84.70588235294116</v>
      </c>
    </row>
    <row r="18" spans="2:4" ht="14.25">
      <c r="B18" s="31">
        <f>B19-2</f>
        <v>62.400000000000006</v>
      </c>
      <c r="C18" s="32">
        <f t="shared" si="0"/>
        <v>16.888888888888893</v>
      </c>
      <c r="D18" s="33">
        <f>'Background Calcs'!D35</f>
        <v>76.65399239543723</v>
      </c>
    </row>
    <row r="19" spans="2:4" ht="14.25">
      <c r="B19" s="34">
        <f>IF(TemperatureUnits="F",D8,CONVERT(D8,"C","F"))</f>
        <v>64.4</v>
      </c>
      <c r="C19" s="35">
        <f t="shared" si="0"/>
        <v>18.000000000000004</v>
      </c>
      <c r="D19" s="36">
        <f>'Background Calcs'!D36</f>
        <v>69.99999999999997</v>
      </c>
    </row>
    <row r="20" spans="2:4" ht="14.25">
      <c r="B20" s="31">
        <f>B19+2</f>
        <v>66.4</v>
      </c>
      <c r="C20" s="32">
        <f t="shared" si="0"/>
        <v>19.111111111111114</v>
      </c>
      <c r="D20" s="33">
        <f>'Background Calcs'!D37</f>
        <v>64.40894568690094</v>
      </c>
    </row>
    <row r="21" spans="2:4" ht="14.25">
      <c r="B21" s="31">
        <f>B20+2</f>
        <v>68.4</v>
      </c>
      <c r="C21" s="32">
        <f t="shared" si="0"/>
        <v>20.222222222222225</v>
      </c>
      <c r="D21" s="33">
        <f>'Background Calcs'!D38</f>
        <v>59.64497041420117</v>
      </c>
    </row>
    <row r="22" spans="2:4" ht="15" thickBot="1">
      <c r="B22" s="37">
        <f>B21+2</f>
        <v>70.4</v>
      </c>
      <c r="C22" s="38">
        <f t="shared" si="0"/>
        <v>21.333333333333336</v>
      </c>
      <c r="D22" s="39">
        <f>'Background Calcs'!D39</f>
        <v>55.53719008264462</v>
      </c>
    </row>
    <row r="23" ht="12.75"/>
    <row r="24" spans="2:6" ht="26.25" customHeight="1">
      <c r="B24" s="163" t="str">
        <f>CONCATENATE("Citation: ",'Background Calcs'!AA10)</f>
        <v>Citation: Pasian, C.C. and Lieth, J.H., 1994. Prediction of flowering rose shoot development based on air temperature and thermal units. Sci. Hort. 59: 131-145.</v>
      </c>
      <c r="C24" s="164"/>
      <c r="D24" s="164"/>
      <c r="E24" s="164"/>
      <c r="F24" s="165"/>
    </row>
    <row r="25" spans="2:6" ht="12.75">
      <c r="B25" s="112" t="s">
        <v>206</v>
      </c>
      <c r="C25" s="113"/>
      <c r="D25" s="113"/>
      <c r="E25" s="113"/>
      <c r="F25" s="114"/>
    </row>
    <row r="26" spans="2:6" ht="12.75">
      <c r="B26" s="112" t="s">
        <v>202</v>
      </c>
      <c r="C26" s="113"/>
      <c r="D26" s="113"/>
      <c r="E26" s="113"/>
      <c r="F26" s="114"/>
    </row>
    <row r="27" spans="2:6" ht="28.5" customHeight="1">
      <c r="B27" s="160" t="s">
        <v>288</v>
      </c>
      <c r="C27" s="161"/>
      <c r="D27" s="161"/>
      <c r="E27" s="161"/>
      <c r="F27" s="162"/>
    </row>
    <row r="28" ht="12.75">
      <c r="B28" s="40"/>
    </row>
  </sheetData>
  <sheetProtection sheet="1"/>
  <mergeCells count="9">
    <mergeCell ref="B27:F27"/>
    <mergeCell ref="B24:F24"/>
    <mergeCell ref="B9:C9"/>
    <mergeCell ref="B14:D14"/>
    <mergeCell ref="B6:C6"/>
    <mergeCell ref="B7:C7"/>
    <mergeCell ref="B8:C8"/>
    <mergeCell ref="B11:C11"/>
    <mergeCell ref="B12:C12"/>
  </mergeCells>
  <dataValidations count="1">
    <dataValidation type="list" allowBlank="1" showInputMessage="1" showErrorMessage="1" sqref="D6">
      <formula1>SpeciesCultivarList</formula1>
    </dataValidation>
  </dataValidations>
  <printOptions/>
  <pageMargins left="0.75" right="0.75" top="1" bottom="1" header="0.5" footer="0.5"/>
  <pageSetup fitToHeight="1" fitToWidth="1" horizontalDpi="600" verticalDpi="600" orientation="landscape" scale="77" r:id="rId4"/>
  <drawing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Y223"/>
  <sheetViews>
    <sheetView showGridLines="0" workbookViewId="0" topLeftCell="A1">
      <selection activeCell="E8" sqref="E8"/>
    </sheetView>
  </sheetViews>
  <sheetFormatPr defaultColWidth="9.140625" defaultRowHeight="12.75"/>
  <cols>
    <col min="1" max="1" width="0.13671875" style="12" customWidth="1"/>
    <col min="2" max="2" width="0.13671875" style="6" customWidth="1"/>
    <col min="3" max="3" width="25.57421875" style="12" customWidth="1"/>
    <col min="4" max="4" width="31.8515625" style="12" customWidth="1"/>
    <col min="5" max="5" width="13.57421875" style="12" customWidth="1"/>
    <col min="6" max="12" width="9.140625" style="12" customWidth="1"/>
    <col min="13" max="14" width="9.7109375" style="12" customWidth="1"/>
    <col min="15" max="15" width="11.140625" style="12" bestFit="1" customWidth="1"/>
    <col min="16" max="16" width="11.7109375" style="12" customWidth="1"/>
    <col min="17" max="17" width="20.00390625" style="12" customWidth="1"/>
    <col min="18" max="18" width="13.7109375" style="12" customWidth="1"/>
    <col min="19" max="19" width="24.140625" style="41" customWidth="1"/>
    <col min="20" max="16384" width="9.140625" style="12" customWidth="1"/>
  </cols>
  <sheetData>
    <row r="1" spans="3:19" ht="19.5" customHeight="1">
      <c r="C1" s="176" t="s">
        <v>201</v>
      </c>
      <c r="D1" s="176"/>
      <c r="E1" s="89" t="s">
        <v>255</v>
      </c>
      <c r="F1" s="15"/>
      <c r="G1" s="15"/>
      <c r="H1" s="15"/>
      <c r="I1" s="14"/>
      <c r="J1" s="17"/>
      <c r="K1" s="18"/>
      <c r="L1" s="15"/>
      <c r="M1" s="15"/>
      <c r="N1" s="15"/>
      <c r="O1" s="15"/>
      <c r="P1" s="17"/>
      <c r="Q1" s="18"/>
      <c r="R1" s="15"/>
      <c r="S1" s="15"/>
    </row>
    <row r="2" spans="3:19" ht="19.5" customHeight="1">
      <c r="C2" s="176"/>
      <c r="D2" s="176"/>
      <c r="E2" s="20" t="s">
        <v>297</v>
      </c>
      <c r="F2" s="15"/>
      <c r="G2" s="15"/>
      <c r="H2" s="15"/>
      <c r="I2" s="14"/>
      <c r="J2" s="19"/>
      <c r="K2" s="20"/>
      <c r="L2" s="15"/>
      <c r="M2" s="15"/>
      <c r="N2" s="15"/>
      <c r="O2" s="14"/>
      <c r="P2" s="19"/>
      <c r="Q2" s="20"/>
      <c r="R2" s="15"/>
      <c r="S2" s="15"/>
    </row>
    <row r="3" spans="3:19" ht="19.5" customHeight="1" thickBot="1">
      <c r="C3" s="177"/>
      <c r="D3" s="177"/>
      <c r="E3" s="15" t="s">
        <v>283</v>
      </c>
      <c r="F3" s="15"/>
      <c r="G3" s="15"/>
      <c r="H3" s="15"/>
      <c r="I3" s="14"/>
      <c r="J3" s="15"/>
      <c r="K3" s="15"/>
      <c r="L3" s="15"/>
      <c r="M3" s="15"/>
      <c r="N3" s="15"/>
      <c r="O3" s="14"/>
      <c r="P3" s="15"/>
      <c r="Q3" s="15"/>
      <c r="R3" s="119" t="s">
        <v>299</v>
      </c>
      <c r="S3" s="15"/>
    </row>
    <row r="4" spans="1:21" ht="12.75">
      <c r="A4" s="42"/>
      <c r="B4" s="7"/>
      <c r="C4" s="184" t="s">
        <v>34</v>
      </c>
      <c r="D4" s="186" t="s">
        <v>46</v>
      </c>
      <c r="E4" s="188" t="s">
        <v>301</v>
      </c>
      <c r="F4" s="179" t="s">
        <v>47</v>
      </c>
      <c r="G4" s="179"/>
      <c r="H4" s="179"/>
      <c r="I4" s="178" t="s">
        <v>49</v>
      </c>
      <c r="J4" s="179"/>
      <c r="K4" s="179"/>
      <c r="L4" s="183"/>
      <c r="M4" s="178" t="s">
        <v>56</v>
      </c>
      <c r="N4" s="179"/>
      <c r="O4" s="180"/>
      <c r="P4" s="180"/>
      <c r="Q4" s="181"/>
      <c r="R4" s="182"/>
      <c r="S4" s="51"/>
      <c r="T4" s="3"/>
      <c r="U4" s="3"/>
    </row>
    <row r="5" spans="1:21" ht="12.75">
      <c r="A5" s="43"/>
      <c r="B5" s="8"/>
      <c r="C5" s="185"/>
      <c r="D5" s="187"/>
      <c r="E5" s="189"/>
      <c r="F5" s="3" t="s">
        <v>50</v>
      </c>
      <c r="G5" s="3" t="s">
        <v>48</v>
      </c>
      <c r="H5" s="50" t="s">
        <v>45</v>
      </c>
      <c r="I5" s="4" t="s">
        <v>50</v>
      </c>
      <c r="J5" s="3" t="s">
        <v>48</v>
      </c>
      <c r="K5" s="3" t="s">
        <v>45</v>
      </c>
      <c r="L5" s="5" t="s">
        <v>51</v>
      </c>
      <c r="M5" s="4" t="s">
        <v>52</v>
      </c>
      <c r="N5" s="3" t="s">
        <v>53</v>
      </c>
      <c r="O5" s="3" t="s">
        <v>289</v>
      </c>
      <c r="P5" s="3" t="s">
        <v>291</v>
      </c>
      <c r="Q5" s="3" t="s">
        <v>295</v>
      </c>
      <c r="R5" s="5" t="s">
        <v>296</v>
      </c>
      <c r="S5" s="52"/>
      <c r="T5" s="3"/>
      <c r="U5" s="3"/>
    </row>
    <row r="6" spans="1:21" ht="14.25">
      <c r="A6" s="43"/>
      <c r="B6" s="9" t="s">
        <v>163</v>
      </c>
      <c r="C6" s="185"/>
      <c r="D6" s="187"/>
      <c r="E6" s="190"/>
      <c r="F6" s="120" t="s">
        <v>290</v>
      </c>
      <c r="G6" s="120" t="s">
        <v>290</v>
      </c>
      <c r="H6" s="121" t="s">
        <v>290</v>
      </c>
      <c r="I6" s="122" t="s">
        <v>290</v>
      </c>
      <c r="J6" s="120" t="s">
        <v>290</v>
      </c>
      <c r="K6" s="120" t="s">
        <v>290</v>
      </c>
      <c r="L6" s="123"/>
      <c r="M6" s="122" t="s">
        <v>290</v>
      </c>
      <c r="N6" s="120" t="s">
        <v>290</v>
      </c>
      <c r="O6" s="120" t="s">
        <v>300</v>
      </c>
      <c r="P6" s="120" t="s">
        <v>292</v>
      </c>
      <c r="Q6" s="53" t="s">
        <v>60</v>
      </c>
      <c r="R6" s="54" t="s">
        <v>58</v>
      </c>
      <c r="S6" s="55" t="s">
        <v>161</v>
      </c>
      <c r="T6" s="3"/>
      <c r="U6" s="3"/>
    </row>
    <row r="7" spans="1:21" ht="12.75">
      <c r="A7" s="43"/>
      <c r="B7" s="10" t="str">
        <f aca="true" t="shared" si="0" ref="B7:B84">IF(C7&lt;&gt;"",IF(D7&lt;&gt;"",CONCATENATE(C7,": ",D7),C7),"")</f>
        <v>African violet: Utah</v>
      </c>
      <c r="C7" s="142" t="s">
        <v>13</v>
      </c>
      <c r="D7" s="143" t="s">
        <v>190</v>
      </c>
      <c r="E7" s="144" t="s">
        <v>68</v>
      </c>
      <c r="F7" s="145">
        <v>8</v>
      </c>
      <c r="G7" s="145">
        <f>J7</f>
        <v>25.5</v>
      </c>
      <c r="H7" s="145"/>
      <c r="I7" s="146">
        <v>8</v>
      </c>
      <c r="J7" s="145">
        <v>25.5</v>
      </c>
      <c r="K7" s="145">
        <v>30.83</v>
      </c>
      <c r="L7" s="147">
        <v>0.27</v>
      </c>
      <c r="M7" s="146">
        <v>14</v>
      </c>
      <c r="N7" s="145">
        <v>30</v>
      </c>
      <c r="O7" s="145" t="s">
        <v>188</v>
      </c>
      <c r="P7" s="148">
        <v>12</v>
      </c>
      <c r="Q7" s="145" t="s">
        <v>69</v>
      </c>
      <c r="R7" s="149" t="s">
        <v>62</v>
      </c>
      <c r="S7" s="150" t="s">
        <v>189</v>
      </c>
      <c r="U7" s="44"/>
    </row>
    <row r="8" spans="1:21" ht="12.75">
      <c r="A8" s="43"/>
      <c r="B8" s="10" t="str">
        <f t="shared" si="0"/>
        <v>Ageratum: High Tide Blue</v>
      </c>
      <c r="C8" s="151" t="s">
        <v>2</v>
      </c>
      <c r="D8" s="152" t="s">
        <v>61</v>
      </c>
      <c r="E8" s="153" t="s">
        <v>62</v>
      </c>
      <c r="F8" s="154">
        <v>7.8</v>
      </c>
      <c r="G8" s="154"/>
      <c r="H8" s="154"/>
      <c r="I8" s="155"/>
      <c r="J8" s="154"/>
      <c r="K8" s="154"/>
      <c r="L8" s="156"/>
      <c r="M8" s="155">
        <v>14.4</v>
      </c>
      <c r="N8" s="154">
        <v>23.1</v>
      </c>
      <c r="O8" s="154" t="s">
        <v>66</v>
      </c>
      <c r="P8" s="157">
        <v>16</v>
      </c>
      <c r="Q8" s="154" t="s">
        <v>65</v>
      </c>
      <c r="R8" s="158" t="s">
        <v>64</v>
      </c>
      <c r="S8" s="159" t="s">
        <v>228</v>
      </c>
      <c r="T8" s="45"/>
      <c r="U8" s="13"/>
    </row>
    <row r="9" spans="1:21" ht="12.75">
      <c r="A9" s="43"/>
      <c r="B9" s="10" t="str">
        <f t="shared" si="0"/>
        <v>Angelonia: Angelface Blue</v>
      </c>
      <c r="C9" s="124" t="s">
        <v>14</v>
      </c>
      <c r="D9" s="125" t="s">
        <v>150</v>
      </c>
      <c r="E9" s="126" t="s">
        <v>62</v>
      </c>
      <c r="F9" s="127">
        <v>9.758972245614661</v>
      </c>
      <c r="G9" s="127"/>
      <c r="H9" s="127"/>
      <c r="I9" s="128"/>
      <c r="J9" s="127"/>
      <c r="K9" s="127"/>
      <c r="L9" s="129"/>
      <c r="M9" s="128">
        <v>12</v>
      </c>
      <c r="N9" s="127">
        <v>28</v>
      </c>
      <c r="O9" s="127">
        <f>275*18*60*60/1000000</f>
        <v>17.82</v>
      </c>
      <c r="P9" s="130">
        <v>18</v>
      </c>
      <c r="Q9" s="127" t="s">
        <v>69</v>
      </c>
      <c r="R9" s="131" t="s">
        <v>62</v>
      </c>
      <c r="S9" s="132" t="s">
        <v>160</v>
      </c>
      <c r="T9" s="45"/>
      <c r="U9" s="13"/>
    </row>
    <row r="10" spans="1:21" ht="12.75">
      <c r="A10" s="43"/>
      <c r="B10" s="10" t="str">
        <f t="shared" si="0"/>
        <v>Angelonia: Serena Purple</v>
      </c>
      <c r="C10" s="151" t="s">
        <v>14</v>
      </c>
      <c r="D10" s="152" t="s">
        <v>67</v>
      </c>
      <c r="E10" s="153" t="s">
        <v>68</v>
      </c>
      <c r="F10" s="154">
        <v>9.9</v>
      </c>
      <c r="G10" s="154">
        <f>J10</f>
        <v>27.2</v>
      </c>
      <c r="H10" s="154"/>
      <c r="I10" s="155">
        <v>9.9</v>
      </c>
      <c r="J10" s="154">
        <v>27.2</v>
      </c>
      <c r="K10" s="154">
        <v>35</v>
      </c>
      <c r="L10" s="156">
        <v>0.0354</v>
      </c>
      <c r="M10" s="155">
        <v>5</v>
      </c>
      <c r="N10" s="154">
        <v>30</v>
      </c>
      <c r="O10" s="154">
        <v>10</v>
      </c>
      <c r="P10" s="157">
        <v>16</v>
      </c>
      <c r="Q10" s="154" t="s">
        <v>69</v>
      </c>
      <c r="R10" s="158" t="s">
        <v>64</v>
      </c>
      <c r="S10" s="159" t="s">
        <v>228</v>
      </c>
      <c r="T10" s="45"/>
      <c r="U10" s="13"/>
    </row>
    <row r="11" spans="1:21" ht="12.75">
      <c r="A11" s="43"/>
      <c r="B11" s="10" t="str">
        <f t="shared" si="0"/>
        <v>Argyranthemum: Butterfly</v>
      </c>
      <c r="C11" s="124" t="s">
        <v>38</v>
      </c>
      <c r="D11" s="125" t="s">
        <v>151</v>
      </c>
      <c r="E11" s="126" t="s">
        <v>68</v>
      </c>
      <c r="F11" s="127">
        <v>6.7</v>
      </c>
      <c r="G11" s="127">
        <v>23.9</v>
      </c>
      <c r="H11" s="127"/>
      <c r="I11" s="128">
        <v>6.6695</v>
      </c>
      <c r="J11" s="127">
        <v>23.8578</v>
      </c>
      <c r="K11" s="127">
        <v>40</v>
      </c>
      <c r="L11" s="129">
        <v>0.0219</v>
      </c>
      <c r="M11" s="128">
        <v>12</v>
      </c>
      <c r="N11" s="127">
        <v>28</v>
      </c>
      <c r="O11" s="127">
        <f>275*18*60*60/1000000</f>
        <v>17.82</v>
      </c>
      <c r="P11" s="130">
        <v>18</v>
      </c>
      <c r="Q11" s="127" t="s">
        <v>69</v>
      </c>
      <c r="R11" s="131" t="s">
        <v>62</v>
      </c>
      <c r="S11" s="132" t="s">
        <v>160</v>
      </c>
      <c r="T11" s="45"/>
      <c r="U11" s="13"/>
    </row>
    <row r="12" spans="1:21" ht="12.75">
      <c r="A12" s="43"/>
      <c r="B12" s="10" t="str">
        <f t="shared" si="0"/>
        <v>Astilbe: chinensis pumila</v>
      </c>
      <c r="C12" s="151" t="s">
        <v>106</v>
      </c>
      <c r="D12" s="152" t="s">
        <v>294</v>
      </c>
      <c r="E12" s="153" t="s">
        <v>62</v>
      </c>
      <c r="F12" s="154">
        <v>-3.6</v>
      </c>
      <c r="G12" s="154"/>
      <c r="H12" s="154"/>
      <c r="I12" s="155"/>
      <c r="J12" s="154"/>
      <c r="K12" s="154"/>
      <c r="L12" s="156"/>
      <c r="M12" s="155">
        <v>17</v>
      </c>
      <c r="N12" s="154">
        <v>29</v>
      </c>
      <c r="O12" s="154"/>
      <c r="P12" s="157" t="s">
        <v>108</v>
      </c>
      <c r="Q12" s="154" t="s">
        <v>65</v>
      </c>
      <c r="R12" s="158" t="s">
        <v>64</v>
      </c>
      <c r="S12" s="159" t="s">
        <v>107</v>
      </c>
      <c r="T12" s="45"/>
      <c r="U12" s="13"/>
    </row>
    <row r="13" spans="1:21" ht="12.75">
      <c r="A13" s="43"/>
      <c r="B13" s="10" t="str">
        <f t="shared" si="0"/>
        <v>Begonia (fibrous): Sprint Blush</v>
      </c>
      <c r="C13" s="124" t="s">
        <v>15</v>
      </c>
      <c r="D13" s="125" t="s">
        <v>95</v>
      </c>
      <c r="E13" s="126" t="s">
        <v>62</v>
      </c>
      <c r="F13" s="127">
        <v>6.1</v>
      </c>
      <c r="G13" s="127"/>
      <c r="H13" s="127"/>
      <c r="I13" s="128"/>
      <c r="J13" s="127"/>
      <c r="K13" s="127"/>
      <c r="L13" s="129"/>
      <c r="M13" s="128">
        <v>17.2</v>
      </c>
      <c r="N13" s="127">
        <v>26.2</v>
      </c>
      <c r="O13" s="127" t="s">
        <v>100</v>
      </c>
      <c r="P13" s="130">
        <v>16</v>
      </c>
      <c r="Q13" s="127" t="s">
        <v>65</v>
      </c>
      <c r="R13" s="131" t="s">
        <v>64</v>
      </c>
      <c r="S13" s="132" t="s">
        <v>63</v>
      </c>
      <c r="T13" s="45"/>
      <c r="U13" s="13"/>
    </row>
    <row r="14" spans="1:21" ht="12.75">
      <c r="A14" s="46"/>
      <c r="B14" s="10" t="str">
        <f t="shared" si="0"/>
        <v>Blue lobelia: Riviera Midnight Blue</v>
      </c>
      <c r="C14" s="151" t="s">
        <v>97</v>
      </c>
      <c r="D14" s="152" t="s">
        <v>98</v>
      </c>
      <c r="E14" s="153" t="s">
        <v>62</v>
      </c>
      <c r="F14" s="154">
        <v>5</v>
      </c>
      <c r="G14" s="154"/>
      <c r="H14" s="154"/>
      <c r="I14" s="155"/>
      <c r="J14" s="154"/>
      <c r="K14" s="154"/>
      <c r="L14" s="156"/>
      <c r="M14" s="155">
        <v>14.3</v>
      </c>
      <c r="N14" s="154">
        <v>22.8</v>
      </c>
      <c r="O14" s="154" t="s">
        <v>114</v>
      </c>
      <c r="P14" s="157">
        <v>16</v>
      </c>
      <c r="Q14" s="154" t="s">
        <v>65</v>
      </c>
      <c r="R14" s="158" t="s">
        <v>64</v>
      </c>
      <c r="S14" s="159" t="s">
        <v>63</v>
      </c>
      <c r="T14" s="45"/>
      <c r="U14" s="13"/>
    </row>
    <row r="15" spans="1:21" ht="12.75">
      <c r="A15" s="46"/>
      <c r="B15" s="10" t="str">
        <f t="shared" si="0"/>
        <v>Blue salvia: Victoria Blue</v>
      </c>
      <c r="C15" s="63" t="s">
        <v>16</v>
      </c>
      <c r="D15" s="64" t="s">
        <v>75</v>
      </c>
      <c r="E15" s="118" t="s">
        <v>68</v>
      </c>
      <c r="F15" s="13">
        <v>9.4</v>
      </c>
      <c r="G15" s="13">
        <v>28</v>
      </c>
      <c r="H15" s="13"/>
      <c r="I15" s="65">
        <v>9.4</v>
      </c>
      <c r="J15" s="13">
        <v>28</v>
      </c>
      <c r="K15" s="13">
        <v>31</v>
      </c>
      <c r="L15" s="66">
        <v>0.0294</v>
      </c>
      <c r="M15" s="65">
        <v>5</v>
      </c>
      <c r="N15" s="13">
        <v>30</v>
      </c>
      <c r="O15" s="13">
        <v>10</v>
      </c>
      <c r="P15" s="115">
        <v>16</v>
      </c>
      <c r="Q15" s="13" t="s">
        <v>69</v>
      </c>
      <c r="R15" s="67" t="s">
        <v>64</v>
      </c>
      <c r="S15" s="68" t="s">
        <v>228</v>
      </c>
      <c r="T15" s="45"/>
      <c r="U15" s="13"/>
    </row>
    <row r="16" spans="1:21" ht="12.75">
      <c r="A16" s="43"/>
      <c r="B16" s="10" t="str">
        <f t="shared" si="0"/>
        <v>Browallia: Bells Marine</v>
      </c>
      <c r="C16" s="151" t="s">
        <v>76</v>
      </c>
      <c r="D16" s="152" t="s">
        <v>77</v>
      </c>
      <c r="E16" s="153" t="s">
        <v>68</v>
      </c>
      <c r="F16" s="154">
        <v>8.9</v>
      </c>
      <c r="G16" s="154">
        <v>26.7</v>
      </c>
      <c r="H16" s="154"/>
      <c r="I16" s="155">
        <v>8.9</v>
      </c>
      <c r="J16" s="154">
        <v>26.7</v>
      </c>
      <c r="K16" s="154">
        <v>30.4</v>
      </c>
      <c r="L16" s="156">
        <v>0.0296</v>
      </c>
      <c r="M16" s="155">
        <v>5</v>
      </c>
      <c r="N16" s="154">
        <v>30</v>
      </c>
      <c r="O16" s="154">
        <v>10</v>
      </c>
      <c r="P16" s="157">
        <v>16</v>
      </c>
      <c r="Q16" s="154" t="s">
        <v>69</v>
      </c>
      <c r="R16" s="158" t="s">
        <v>64</v>
      </c>
      <c r="S16" s="159" t="s">
        <v>228</v>
      </c>
      <c r="T16" s="45"/>
      <c r="U16" s="13"/>
    </row>
    <row r="17" spans="1:21" ht="12.75">
      <c r="A17" s="43"/>
      <c r="B17" s="10" t="str">
        <f t="shared" si="0"/>
        <v>Calibrachoa: Superbells Red</v>
      </c>
      <c r="C17" s="124" t="s">
        <v>10</v>
      </c>
      <c r="D17" s="125" t="s">
        <v>152</v>
      </c>
      <c r="E17" s="126" t="s">
        <v>62</v>
      </c>
      <c r="F17" s="127">
        <v>3.87583712664463</v>
      </c>
      <c r="G17" s="127"/>
      <c r="H17" s="127"/>
      <c r="I17" s="128"/>
      <c r="J17" s="127"/>
      <c r="K17" s="127"/>
      <c r="L17" s="129"/>
      <c r="M17" s="128">
        <v>12</v>
      </c>
      <c r="N17" s="127">
        <v>28</v>
      </c>
      <c r="O17" s="127">
        <f>275*18*60*60/1000000</f>
        <v>17.82</v>
      </c>
      <c r="P17" s="130">
        <v>18</v>
      </c>
      <c r="Q17" s="127" t="s">
        <v>69</v>
      </c>
      <c r="R17" s="131" t="s">
        <v>62</v>
      </c>
      <c r="S17" s="132" t="s">
        <v>160</v>
      </c>
      <c r="T17" s="45"/>
      <c r="U17" s="13"/>
    </row>
    <row r="18" spans="1:21" ht="12.75">
      <c r="A18" s="43"/>
      <c r="B18" s="10" t="str">
        <f t="shared" si="0"/>
        <v>Campanula carpatica: Blue Clips</v>
      </c>
      <c r="C18" s="151" t="s">
        <v>109</v>
      </c>
      <c r="D18" s="152" t="s">
        <v>110</v>
      </c>
      <c r="E18" s="153" t="s">
        <v>62</v>
      </c>
      <c r="F18" s="154">
        <v>-3.1</v>
      </c>
      <c r="G18" s="154"/>
      <c r="H18" s="154"/>
      <c r="I18" s="155"/>
      <c r="J18" s="154"/>
      <c r="K18" s="154"/>
      <c r="L18" s="156"/>
      <c r="M18" s="155">
        <v>14</v>
      </c>
      <c r="N18" s="154">
        <v>26</v>
      </c>
      <c r="O18" s="154">
        <v>12</v>
      </c>
      <c r="P18" s="157">
        <v>12</v>
      </c>
      <c r="Q18" s="154" t="s">
        <v>65</v>
      </c>
      <c r="R18" s="158" t="s">
        <v>62</v>
      </c>
      <c r="S18" s="159" t="s">
        <v>111</v>
      </c>
      <c r="T18" s="45"/>
      <c r="U18" s="13"/>
    </row>
    <row r="19" spans="1:21" ht="12.75">
      <c r="A19" s="43"/>
      <c r="B19" s="10" t="str">
        <f t="shared" si="0"/>
        <v>Celosia: Gloria Mix</v>
      </c>
      <c r="C19" s="124" t="s">
        <v>17</v>
      </c>
      <c r="D19" s="125" t="s">
        <v>141</v>
      </c>
      <c r="E19" s="126" t="s">
        <v>62</v>
      </c>
      <c r="F19" s="127">
        <v>10.2</v>
      </c>
      <c r="G19" s="127"/>
      <c r="H19" s="127"/>
      <c r="I19" s="128"/>
      <c r="J19" s="127"/>
      <c r="K19" s="127"/>
      <c r="L19" s="129"/>
      <c r="M19" s="128">
        <v>15</v>
      </c>
      <c r="N19" s="127">
        <v>27</v>
      </c>
      <c r="O19" s="127" t="s">
        <v>140</v>
      </c>
      <c r="P19" s="130">
        <v>16</v>
      </c>
      <c r="Q19" s="127" t="s">
        <v>65</v>
      </c>
      <c r="R19" s="131" t="s">
        <v>64</v>
      </c>
      <c r="S19" s="132" t="s">
        <v>139</v>
      </c>
      <c r="T19" s="45"/>
      <c r="U19" s="13"/>
    </row>
    <row r="20" spans="1:21" ht="12.75">
      <c r="A20" s="43"/>
      <c r="B20" s="10" t="str">
        <f t="shared" si="0"/>
        <v>Cineraria: Cindy Blue</v>
      </c>
      <c r="C20" s="151" t="s">
        <v>3</v>
      </c>
      <c r="D20" s="152" t="s">
        <v>112</v>
      </c>
      <c r="E20" s="153" t="s">
        <v>62</v>
      </c>
      <c r="F20" s="154">
        <v>1.7</v>
      </c>
      <c r="G20" s="154">
        <v>22.3</v>
      </c>
      <c r="H20" s="154"/>
      <c r="I20" s="155"/>
      <c r="J20" s="154"/>
      <c r="K20" s="154"/>
      <c r="L20" s="156"/>
      <c r="M20" s="155">
        <v>6</v>
      </c>
      <c r="N20" s="154">
        <v>30</v>
      </c>
      <c r="O20" s="154">
        <v>4.4</v>
      </c>
      <c r="P20" s="157">
        <v>11</v>
      </c>
      <c r="Q20" s="154" t="s">
        <v>65</v>
      </c>
      <c r="R20" s="158" t="s">
        <v>64</v>
      </c>
      <c r="S20" s="159" t="s">
        <v>113</v>
      </c>
      <c r="T20" s="45"/>
      <c r="U20" s="13"/>
    </row>
    <row r="21" spans="1:21" ht="12.75">
      <c r="A21" s="43"/>
      <c r="B21" s="10" t="str">
        <f t="shared" si="0"/>
        <v>Cleome: Queen Mix</v>
      </c>
      <c r="C21" s="124" t="s">
        <v>103</v>
      </c>
      <c r="D21" s="125" t="s">
        <v>104</v>
      </c>
      <c r="E21" s="126" t="s">
        <v>62</v>
      </c>
      <c r="F21" s="127">
        <v>7.5</v>
      </c>
      <c r="G21" s="127"/>
      <c r="H21" s="127"/>
      <c r="I21" s="128"/>
      <c r="J21" s="127"/>
      <c r="K21" s="127"/>
      <c r="L21" s="129"/>
      <c r="M21" s="128">
        <v>14.6</v>
      </c>
      <c r="N21" s="127">
        <v>26.1</v>
      </c>
      <c r="O21" s="127" t="s">
        <v>105</v>
      </c>
      <c r="P21" s="130">
        <v>16</v>
      </c>
      <c r="Q21" s="127" t="s">
        <v>65</v>
      </c>
      <c r="R21" s="131" t="s">
        <v>64</v>
      </c>
      <c r="S21" s="132" t="s">
        <v>63</v>
      </c>
      <c r="T21" s="45"/>
      <c r="U21" s="13"/>
    </row>
    <row r="22" spans="1:21" ht="12.75">
      <c r="A22" s="43"/>
      <c r="B22" s="10" t="str">
        <f t="shared" si="0"/>
        <v>Coreopsis grandiflora: Sunray</v>
      </c>
      <c r="C22" s="151" t="s">
        <v>115</v>
      </c>
      <c r="D22" s="152" t="s">
        <v>116</v>
      </c>
      <c r="E22" s="153" t="s">
        <v>62</v>
      </c>
      <c r="F22" s="154">
        <v>6.8</v>
      </c>
      <c r="G22" s="154"/>
      <c r="H22" s="154"/>
      <c r="I22" s="155"/>
      <c r="J22" s="154"/>
      <c r="K22" s="154"/>
      <c r="L22" s="156"/>
      <c r="M22" s="155">
        <v>15</v>
      </c>
      <c r="N22" s="154">
        <v>27</v>
      </c>
      <c r="O22" s="154"/>
      <c r="P22" s="157" t="s">
        <v>108</v>
      </c>
      <c r="Q22" s="154" t="s">
        <v>65</v>
      </c>
      <c r="R22" s="158" t="s">
        <v>64</v>
      </c>
      <c r="S22" s="159" t="s">
        <v>117</v>
      </c>
      <c r="T22" s="45"/>
      <c r="U22" s="13"/>
    </row>
    <row r="23" spans="1:21" ht="12.75">
      <c r="A23" s="43"/>
      <c r="B23" s="10" t="str">
        <f t="shared" si="0"/>
        <v>Coreopsis verticillata: Moonbeam</v>
      </c>
      <c r="C23" s="124" t="s">
        <v>118</v>
      </c>
      <c r="D23" s="125" t="s">
        <v>119</v>
      </c>
      <c r="E23" s="126" t="s">
        <v>62</v>
      </c>
      <c r="F23" s="127">
        <v>-2.2</v>
      </c>
      <c r="G23" s="127"/>
      <c r="H23" s="127"/>
      <c r="I23" s="128"/>
      <c r="J23" s="127"/>
      <c r="K23" s="127"/>
      <c r="L23" s="129"/>
      <c r="M23" s="128">
        <v>17.3</v>
      </c>
      <c r="N23" s="127">
        <v>29.4</v>
      </c>
      <c r="O23" s="127"/>
      <c r="P23" s="130" t="s">
        <v>108</v>
      </c>
      <c r="Q23" s="127" t="s">
        <v>65</v>
      </c>
      <c r="R23" s="131" t="s">
        <v>64</v>
      </c>
      <c r="S23" s="132" t="s">
        <v>107</v>
      </c>
      <c r="T23" s="45"/>
      <c r="U23" s="13"/>
    </row>
    <row r="24" spans="1:21" ht="12.75">
      <c r="A24" s="43"/>
      <c r="B24" s="10" t="str">
        <f t="shared" si="0"/>
        <v>Cosmos (sulphureus): Cosmic Orange</v>
      </c>
      <c r="C24" s="151" t="s">
        <v>78</v>
      </c>
      <c r="D24" s="152" t="s">
        <v>79</v>
      </c>
      <c r="E24" s="153" t="s">
        <v>68</v>
      </c>
      <c r="F24" s="154">
        <v>7.2</v>
      </c>
      <c r="G24" s="154">
        <v>23.7</v>
      </c>
      <c r="H24" s="154"/>
      <c r="I24" s="155">
        <v>7.2</v>
      </c>
      <c r="J24" s="154">
        <v>23.7</v>
      </c>
      <c r="K24" s="154">
        <v>30.3</v>
      </c>
      <c r="L24" s="156">
        <v>0.0354</v>
      </c>
      <c r="M24" s="155">
        <v>5</v>
      </c>
      <c r="N24" s="154">
        <v>30</v>
      </c>
      <c r="O24" s="154">
        <v>10</v>
      </c>
      <c r="P24" s="157">
        <v>16</v>
      </c>
      <c r="Q24" s="154" t="s">
        <v>69</v>
      </c>
      <c r="R24" s="158" t="s">
        <v>64</v>
      </c>
      <c r="S24" s="159" t="s">
        <v>228</v>
      </c>
      <c r="T24" s="45"/>
      <c r="U24" s="13"/>
    </row>
    <row r="25" spans="1:21" ht="12.75">
      <c r="A25" s="43"/>
      <c r="B25" s="10" t="str">
        <f t="shared" si="0"/>
        <v>Cupflower (Nierembergia): Purple Robe</v>
      </c>
      <c r="C25" s="124" t="s">
        <v>262</v>
      </c>
      <c r="D25" s="125" t="s">
        <v>263</v>
      </c>
      <c r="E25" s="126" t="s">
        <v>62</v>
      </c>
      <c r="F25" s="127">
        <v>6.2</v>
      </c>
      <c r="G25" s="127"/>
      <c r="H25" s="127"/>
      <c r="I25" s="128"/>
      <c r="J25" s="127"/>
      <c r="K25" s="127"/>
      <c r="L25" s="129"/>
      <c r="M25" s="128">
        <v>14</v>
      </c>
      <c r="N25" s="127">
        <v>26</v>
      </c>
      <c r="O25" s="127" t="s">
        <v>259</v>
      </c>
      <c r="P25" s="130">
        <v>16</v>
      </c>
      <c r="Q25" s="127" t="s">
        <v>65</v>
      </c>
      <c r="R25" s="131" t="s">
        <v>64</v>
      </c>
      <c r="S25" s="132" t="s">
        <v>260</v>
      </c>
      <c r="T25" s="45"/>
      <c r="U25" s="13"/>
    </row>
    <row r="26" spans="1:21" ht="12.75">
      <c r="A26" s="43"/>
      <c r="B26" s="10" t="str">
        <f t="shared" si="0"/>
        <v>Dahlia: Figaro Mix</v>
      </c>
      <c r="C26" s="151" t="s">
        <v>11</v>
      </c>
      <c r="D26" s="152" t="s">
        <v>80</v>
      </c>
      <c r="E26" s="153" t="s">
        <v>68</v>
      </c>
      <c r="F26" s="154">
        <v>5.555555555555555</v>
      </c>
      <c r="G26" s="154">
        <v>19.1</v>
      </c>
      <c r="H26" s="154"/>
      <c r="I26" s="155">
        <v>5.6</v>
      </c>
      <c r="J26" s="154">
        <v>19.1</v>
      </c>
      <c r="K26" s="154">
        <v>30.4</v>
      </c>
      <c r="L26" s="156">
        <v>0.0204</v>
      </c>
      <c r="M26" s="155">
        <v>5</v>
      </c>
      <c r="N26" s="154">
        <v>30</v>
      </c>
      <c r="O26" s="154">
        <v>10</v>
      </c>
      <c r="P26" s="157">
        <v>16</v>
      </c>
      <c r="Q26" s="154" t="s">
        <v>69</v>
      </c>
      <c r="R26" s="158" t="s">
        <v>64</v>
      </c>
      <c r="S26" s="159" t="s">
        <v>228</v>
      </c>
      <c r="T26" s="45"/>
      <c r="U26" s="13"/>
    </row>
    <row r="27" spans="1:21" ht="12.75">
      <c r="A27" s="43"/>
      <c r="B27" s="10" t="str">
        <f t="shared" si="0"/>
        <v>Daylily: Stella de Oro</v>
      </c>
      <c r="C27" s="124" t="s">
        <v>128</v>
      </c>
      <c r="D27" s="125" t="s">
        <v>293</v>
      </c>
      <c r="E27" s="126" t="s">
        <v>62</v>
      </c>
      <c r="F27" s="127">
        <v>2.4</v>
      </c>
      <c r="G27" s="127">
        <v>26</v>
      </c>
      <c r="H27" s="127"/>
      <c r="I27" s="128"/>
      <c r="J27" s="127"/>
      <c r="K27" s="127"/>
      <c r="L27" s="129"/>
      <c r="M27" s="128">
        <v>17</v>
      </c>
      <c r="N27" s="127">
        <v>26</v>
      </c>
      <c r="O27" s="127"/>
      <c r="P27" s="130">
        <v>16</v>
      </c>
      <c r="Q27" s="127" t="s">
        <v>65</v>
      </c>
      <c r="R27" s="131" t="s">
        <v>64</v>
      </c>
      <c r="S27" s="132" t="s">
        <v>107</v>
      </c>
      <c r="T27" s="45"/>
      <c r="U27" s="13"/>
    </row>
    <row r="28" spans="1:21" ht="12.75">
      <c r="A28" s="43"/>
      <c r="B28" s="10" t="str">
        <f t="shared" si="0"/>
        <v>Delphinium grandiflorum: Blue Mirror</v>
      </c>
      <c r="C28" s="151" t="s">
        <v>121</v>
      </c>
      <c r="D28" s="152" t="s">
        <v>122</v>
      </c>
      <c r="E28" s="153" t="s">
        <v>62</v>
      </c>
      <c r="F28" s="154">
        <v>1.4</v>
      </c>
      <c r="G28" s="154"/>
      <c r="H28" s="154"/>
      <c r="I28" s="155"/>
      <c r="J28" s="154"/>
      <c r="K28" s="154"/>
      <c r="L28" s="156"/>
      <c r="M28" s="155">
        <v>17</v>
      </c>
      <c r="N28" s="154">
        <v>29</v>
      </c>
      <c r="O28" s="154"/>
      <c r="P28" s="157" t="s">
        <v>108</v>
      </c>
      <c r="Q28" s="154" t="s">
        <v>65</v>
      </c>
      <c r="R28" s="158" t="s">
        <v>64</v>
      </c>
      <c r="S28" s="159" t="s">
        <v>107</v>
      </c>
      <c r="T28" s="45"/>
      <c r="U28" s="13"/>
    </row>
    <row r="29" spans="1:21" ht="12.75">
      <c r="A29" s="43"/>
      <c r="B29" s="10" t="str">
        <f t="shared" si="0"/>
        <v>Diascia: Diamonte Mix</v>
      </c>
      <c r="C29" s="124" t="s">
        <v>264</v>
      </c>
      <c r="D29" s="125" t="s">
        <v>265</v>
      </c>
      <c r="E29" s="126" t="s">
        <v>62</v>
      </c>
      <c r="F29" s="127">
        <v>-3.9</v>
      </c>
      <c r="G29" s="127"/>
      <c r="H29" s="127"/>
      <c r="I29" s="128"/>
      <c r="J29" s="127"/>
      <c r="K29" s="127"/>
      <c r="L29" s="129"/>
      <c r="M29" s="128">
        <v>14</v>
      </c>
      <c r="N29" s="127">
        <v>26</v>
      </c>
      <c r="O29" s="127" t="s">
        <v>259</v>
      </c>
      <c r="P29" s="130">
        <v>16</v>
      </c>
      <c r="Q29" s="127" t="s">
        <v>65</v>
      </c>
      <c r="R29" s="131" t="s">
        <v>64</v>
      </c>
      <c r="S29" s="132" t="s">
        <v>260</v>
      </c>
      <c r="T29" s="45"/>
      <c r="U29" s="13"/>
    </row>
    <row r="30" spans="1:21" ht="12.75">
      <c r="A30" s="43"/>
      <c r="B30" s="10" t="str">
        <f t="shared" si="0"/>
        <v>Dianthus chinensis: Super Parfait Raspberry</v>
      </c>
      <c r="C30" s="151" t="s">
        <v>120</v>
      </c>
      <c r="D30" s="152" t="s">
        <v>81</v>
      </c>
      <c r="E30" s="153" t="s">
        <v>68</v>
      </c>
      <c r="F30" s="154">
        <v>3.9</v>
      </c>
      <c r="G30" s="154">
        <v>26.9</v>
      </c>
      <c r="H30" s="154"/>
      <c r="I30" s="155">
        <v>3.9</v>
      </c>
      <c r="J30" s="154">
        <v>26.9</v>
      </c>
      <c r="K30" s="154">
        <v>35</v>
      </c>
      <c r="L30" s="156">
        <v>0.0333</v>
      </c>
      <c r="M30" s="155">
        <v>5</v>
      </c>
      <c r="N30" s="154">
        <v>30</v>
      </c>
      <c r="O30" s="154">
        <v>10</v>
      </c>
      <c r="P30" s="157">
        <v>16</v>
      </c>
      <c r="Q30" s="154" t="s">
        <v>69</v>
      </c>
      <c r="R30" s="158" t="s">
        <v>64</v>
      </c>
      <c r="S30" s="159" t="s">
        <v>228</v>
      </c>
      <c r="T30" s="45"/>
      <c r="U30" s="13"/>
    </row>
    <row r="31" spans="1:21" ht="12.75">
      <c r="A31" s="43"/>
      <c r="B31" s="10" t="str">
        <f t="shared" si="0"/>
        <v>Easter lily: Nellie White</v>
      </c>
      <c r="C31" s="124" t="s">
        <v>4</v>
      </c>
      <c r="D31" s="125" t="s">
        <v>146</v>
      </c>
      <c r="E31" s="126" t="s">
        <v>62</v>
      </c>
      <c r="F31" s="127">
        <v>3.5</v>
      </c>
      <c r="G31" s="127"/>
      <c r="H31" s="127"/>
      <c r="I31" s="128"/>
      <c r="J31" s="127"/>
      <c r="K31" s="127"/>
      <c r="L31" s="129"/>
      <c r="M31" s="128">
        <v>14</v>
      </c>
      <c r="N31" s="127">
        <v>30</v>
      </c>
      <c r="O31" s="127"/>
      <c r="P31" s="130"/>
      <c r="Q31" s="127" t="s">
        <v>65</v>
      </c>
      <c r="R31" s="131" t="s">
        <v>64</v>
      </c>
      <c r="S31" s="132" t="s">
        <v>147</v>
      </c>
      <c r="T31" s="45"/>
      <c r="U31" s="13"/>
    </row>
    <row r="32" spans="1:21" ht="12.75">
      <c r="A32" s="43"/>
      <c r="B32" s="10" t="str">
        <f t="shared" si="0"/>
        <v>Flowering tobacco (Nicotiana): Perfume Deep Purple</v>
      </c>
      <c r="C32" s="151" t="s">
        <v>266</v>
      </c>
      <c r="D32" s="152" t="s">
        <v>267</v>
      </c>
      <c r="E32" s="153" t="s">
        <v>62</v>
      </c>
      <c r="F32" s="154">
        <v>6.1</v>
      </c>
      <c r="G32" s="154"/>
      <c r="H32" s="154"/>
      <c r="I32" s="155"/>
      <c r="J32" s="154"/>
      <c r="K32" s="154"/>
      <c r="L32" s="156"/>
      <c r="M32" s="155">
        <v>14</v>
      </c>
      <c r="N32" s="154">
        <v>26</v>
      </c>
      <c r="O32" s="154" t="s">
        <v>259</v>
      </c>
      <c r="P32" s="157">
        <v>16</v>
      </c>
      <c r="Q32" s="154" t="s">
        <v>65</v>
      </c>
      <c r="R32" s="158" t="s">
        <v>64</v>
      </c>
      <c r="S32" s="159" t="s">
        <v>260</v>
      </c>
      <c r="T32" s="45"/>
      <c r="U32" s="13"/>
    </row>
    <row r="33" spans="1:21" ht="12.75">
      <c r="A33" s="43"/>
      <c r="B33" s="10" t="str">
        <f t="shared" si="0"/>
        <v>Gaillardia: Goblin</v>
      </c>
      <c r="C33" s="124" t="s">
        <v>5</v>
      </c>
      <c r="D33" s="125" t="s">
        <v>125</v>
      </c>
      <c r="E33" s="126" t="s">
        <v>62</v>
      </c>
      <c r="F33" s="127">
        <v>9.6</v>
      </c>
      <c r="G33" s="127">
        <v>24</v>
      </c>
      <c r="H33" s="127"/>
      <c r="I33" s="128"/>
      <c r="J33" s="127"/>
      <c r="K33" s="127"/>
      <c r="L33" s="129"/>
      <c r="M33" s="128">
        <v>15</v>
      </c>
      <c r="N33" s="127">
        <v>24</v>
      </c>
      <c r="O33" s="127"/>
      <c r="P33" s="130" t="s">
        <v>108</v>
      </c>
      <c r="Q33" s="127" t="s">
        <v>65</v>
      </c>
      <c r="R33" s="131" t="s">
        <v>64</v>
      </c>
      <c r="S33" s="132" t="s">
        <v>117</v>
      </c>
      <c r="T33" s="45"/>
      <c r="U33" s="13"/>
    </row>
    <row r="34" spans="1:21" ht="12.75">
      <c r="A34" s="43"/>
      <c r="B34" s="10" t="str">
        <f t="shared" si="0"/>
        <v>Gazania: Daybreak Bronze</v>
      </c>
      <c r="C34" s="151" t="s">
        <v>18</v>
      </c>
      <c r="D34" s="152" t="s">
        <v>83</v>
      </c>
      <c r="E34" s="153" t="s">
        <v>68</v>
      </c>
      <c r="F34" s="154">
        <v>4.8</v>
      </c>
      <c r="G34" s="154">
        <v>27.6</v>
      </c>
      <c r="H34" s="154"/>
      <c r="I34" s="155">
        <v>4.8</v>
      </c>
      <c r="J34" s="154">
        <v>27.6</v>
      </c>
      <c r="K34" s="154">
        <v>35</v>
      </c>
      <c r="L34" s="156">
        <v>0.0304</v>
      </c>
      <c r="M34" s="155">
        <v>5</v>
      </c>
      <c r="N34" s="154">
        <v>30</v>
      </c>
      <c r="O34" s="154">
        <v>10</v>
      </c>
      <c r="P34" s="157">
        <v>16</v>
      </c>
      <c r="Q34" s="154" t="s">
        <v>69</v>
      </c>
      <c r="R34" s="158" t="s">
        <v>64</v>
      </c>
      <c r="S34" s="159" t="s">
        <v>228</v>
      </c>
      <c r="T34" s="45"/>
      <c r="U34" s="13"/>
    </row>
    <row r="35" spans="1:21" ht="12.75">
      <c r="A35" s="43"/>
      <c r="B35" s="10" t="str">
        <f t="shared" si="0"/>
        <v>Geranium (Pelargonium): Florever Violet</v>
      </c>
      <c r="C35" s="124" t="s">
        <v>127</v>
      </c>
      <c r="D35" s="125" t="s">
        <v>99</v>
      </c>
      <c r="E35" s="126" t="s">
        <v>62</v>
      </c>
      <c r="F35" s="127">
        <v>5</v>
      </c>
      <c r="G35" s="127"/>
      <c r="H35" s="127"/>
      <c r="I35" s="128"/>
      <c r="J35" s="127"/>
      <c r="K35" s="127"/>
      <c r="L35" s="129"/>
      <c r="M35" s="128">
        <v>17.3</v>
      </c>
      <c r="N35" s="127">
        <v>26.1</v>
      </c>
      <c r="O35" s="127" t="s">
        <v>102</v>
      </c>
      <c r="P35" s="130">
        <v>16</v>
      </c>
      <c r="Q35" s="127" t="s">
        <v>65</v>
      </c>
      <c r="R35" s="131" t="s">
        <v>64</v>
      </c>
      <c r="S35" s="132" t="s">
        <v>63</v>
      </c>
      <c r="T35" s="45"/>
      <c r="U35" s="13"/>
    </row>
    <row r="36" spans="1:21" ht="12.75">
      <c r="A36" s="43"/>
      <c r="B36" s="10" t="str">
        <f t="shared" si="0"/>
        <v>Geranium (Pelargonium): Pinto Red</v>
      </c>
      <c r="C36" s="151" t="s">
        <v>127</v>
      </c>
      <c r="D36" s="152" t="s">
        <v>268</v>
      </c>
      <c r="E36" s="153" t="s">
        <v>62</v>
      </c>
      <c r="F36" s="154">
        <v>5.7</v>
      </c>
      <c r="G36" s="154"/>
      <c r="H36" s="154"/>
      <c r="I36" s="155"/>
      <c r="J36" s="154"/>
      <c r="K36" s="154"/>
      <c r="L36" s="156"/>
      <c r="M36" s="155">
        <v>14</v>
      </c>
      <c r="N36" s="154">
        <v>26</v>
      </c>
      <c r="O36" s="154" t="s">
        <v>259</v>
      </c>
      <c r="P36" s="157">
        <v>16</v>
      </c>
      <c r="Q36" s="154" t="s">
        <v>65</v>
      </c>
      <c r="R36" s="158" t="s">
        <v>64</v>
      </c>
      <c r="S36" s="159" t="s">
        <v>260</v>
      </c>
      <c r="T36" s="45"/>
      <c r="U36" s="13"/>
    </row>
    <row r="37" spans="1:21" ht="12.75">
      <c r="A37" s="43"/>
      <c r="B37" s="10" t="str">
        <f t="shared" si="0"/>
        <v>Geranium (Pelargonium): Ringo 2000 Deep Red</v>
      </c>
      <c r="C37" s="124" t="s">
        <v>127</v>
      </c>
      <c r="D37" s="125" t="s">
        <v>269</v>
      </c>
      <c r="E37" s="126" t="s">
        <v>62</v>
      </c>
      <c r="F37" s="127">
        <v>5.7</v>
      </c>
      <c r="G37" s="127"/>
      <c r="H37" s="127"/>
      <c r="I37" s="128"/>
      <c r="J37" s="127"/>
      <c r="K37" s="127"/>
      <c r="L37" s="129"/>
      <c r="M37" s="128">
        <v>14</v>
      </c>
      <c r="N37" s="127">
        <v>26</v>
      </c>
      <c r="O37" s="127" t="s">
        <v>259</v>
      </c>
      <c r="P37" s="130">
        <v>16</v>
      </c>
      <c r="Q37" s="127" t="s">
        <v>65</v>
      </c>
      <c r="R37" s="131" t="s">
        <v>64</v>
      </c>
      <c r="S37" s="132" t="s">
        <v>260</v>
      </c>
      <c r="T37" s="45"/>
      <c r="U37" s="13"/>
    </row>
    <row r="38" spans="1:21" ht="12.75">
      <c r="A38" s="43"/>
      <c r="B38" s="10" t="str">
        <f t="shared" si="0"/>
        <v>Geranium dalmaticum</v>
      </c>
      <c r="C38" s="151" t="s">
        <v>126</v>
      </c>
      <c r="D38" s="152"/>
      <c r="E38" s="153" t="s">
        <v>62</v>
      </c>
      <c r="F38" s="154">
        <v>3.9</v>
      </c>
      <c r="G38" s="154"/>
      <c r="H38" s="154"/>
      <c r="I38" s="155"/>
      <c r="J38" s="154"/>
      <c r="K38" s="154"/>
      <c r="L38" s="156"/>
      <c r="M38" s="155">
        <v>17</v>
      </c>
      <c r="N38" s="154">
        <v>29</v>
      </c>
      <c r="O38" s="154"/>
      <c r="P38" s="157" t="s">
        <v>108</v>
      </c>
      <c r="Q38" s="154" t="s">
        <v>65</v>
      </c>
      <c r="R38" s="158" t="s">
        <v>64</v>
      </c>
      <c r="S38" s="159" t="s">
        <v>107</v>
      </c>
      <c r="T38" s="45"/>
      <c r="U38" s="13"/>
    </row>
    <row r="39" spans="1:21" ht="12.75">
      <c r="A39" s="43"/>
      <c r="B39" s="10" t="str">
        <f t="shared" si="0"/>
        <v>Heliotrope: Blue Wonder</v>
      </c>
      <c r="C39" s="124" t="s">
        <v>270</v>
      </c>
      <c r="D39" s="125" t="s">
        <v>271</v>
      </c>
      <c r="E39" s="126" t="s">
        <v>62</v>
      </c>
      <c r="F39" s="127">
        <v>1.5</v>
      </c>
      <c r="G39" s="127"/>
      <c r="H39" s="127"/>
      <c r="I39" s="128"/>
      <c r="J39" s="127"/>
      <c r="K39" s="127"/>
      <c r="L39" s="129"/>
      <c r="M39" s="128">
        <v>14</v>
      </c>
      <c r="N39" s="127">
        <v>26</v>
      </c>
      <c r="O39" s="127" t="s">
        <v>259</v>
      </c>
      <c r="P39" s="130">
        <v>16</v>
      </c>
      <c r="Q39" s="127" t="s">
        <v>65</v>
      </c>
      <c r="R39" s="131" t="s">
        <v>64</v>
      </c>
      <c r="S39" s="132" t="s">
        <v>260</v>
      </c>
      <c r="T39" s="45"/>
      <c r="U39" s="13"/>
    </row>
    <row r="40" spans="1:21" ht="12.75">
      <c r="A40" s="43"/>
      <c r="B40" s="10" t="str">
        <f t="shared" si="0"/>
        <v>Hibiscus: Disco Belle Mix</v>
      </c>
      <c r="C40" s="151" t="s">
        <v>19</v>
      </c>
      <c r="D40" s="152" t="s">
        <v>129</v>
      </c>
      <c r="E40" s="153" t="s">
        <v>62</v>
      </c>
      <c r="F40" s="154">
        <v>8.7</v>
      </c>
      <c r="G40" s="154"/>
      <c r="H40" s="154"/>
      <c r="I40" s="155"/>
      <c r="J40" s="154"/>
      <c r="K40" s="154"/>
      <c r="L40" s="156"/>
      <c r="M40" s="155">
        <v>17</v>
      </c>
      <c r="N40" s="154">
        <v>29</v>
      </c>
      <c r="O40" s="154"/>
      <c r="P40" s="157" t="s">
        <v>108</v>
      </c>
      <c r="Q40" s="154" t="s">
        <v>65</v>
      </c>
      <c r="R40" s="158" t="s">
        <v>64</v>
      </c>
      <c r="S40" s="159" t="s">
        <v>107</v>
      </c>
      <c r="T40" s="45"/>
      <c r="U40" s="13"/>
    </row>
    <row r="41" spans="1:21" ht="12.75">
      <c r="A41" s="43"/>
      <c r="B41" s="10" t="str">
        <f t="shared" si="0"/>
        <v>Impatiens (seed): Accent Red</v>
      </c>
      <c r="C41" s="124" t="s">
        <v>12</v>
      </c>
      <c r="D41" s="125" t="s">
        <v>145</v>
      </c>
      <c r="E41" s="126" t="s">
        <v>62</v>
      </c>
      <c r="F41" s="127">
        <v>5.9</v>
      </c>
      <c r="G41" s="127"/>
      <c r="H41" s="127"/>
      <c r="I41" s="128"/>
      <c r="J41" s="127"/>
      <c r="K41" s="127"/>
      <c r="L41" s="129"/>
      <c r="M41" s="128">
        <v>15</v>
      </c>
      <c r="N41" s="127">
        <v>27</v>
      </c>
      <c r="O41" s="127" t="s">
        <v>140</v>
      </c>
      <c r="P41" s="130">
        <v>16</v>
      </c>
      <c r="Q41" s="127" t="s">
        <v>65</v>
      </c>
      <c r="R41" s="131" t="s">
        <v>64</v>
      </c>
      <c r="S41" s="132" t="s">
        <v>139</v>
      </c>
      <c r="T41" s="45"/>
      <c r="U41" s="13"/>
    </row>
    <row r="42" spans="1:21" ht="12.75">
      <c r="A42" s="43"/>
      <c r="B42" s="10" t="str">
        <f t="shared" si="0"/>
        <v>Impatiens (seed): Blitz 3000 Deep Orange</v>
      </c>
      <c r="C42" s="151" t="s">
        <v>12</v>
      </c>
      <c r="D42" s="152" t="s">
        <v>272</v>
      </c>
      <c r="E42" s="153" t="s">
        <v>68</v>
      </c>
      <c r="F42" s="154"/>
      <c r="G42" s="154"/>
      <c r="H42" s="154"/>
      <c r="I42" s="155">
        <v>7.2</v>
      </c>
      <c r="J42" s="154">
        <v>25.1</v>
      </c>
      <c r="K42" s="154">
        <v>35</v>
      </c>
      <c r="L42" s="156">
        <v>0.038</v>
      </c>
      <c r="M42" s="155">
        <v>14</v>
      </c>
      <c r="N42" s="154">
        <v>26</v>
      </c>
      <c r="O42" s="154">
        <v>9</v>
      </c>
      <c r="P42" s="157">
        <v>16</v>
      </c>
      <c r="Q42" s="154" t="s">
        <v>65</v>
      </c>
      <c r="R42" s="158" t="s">
        <v>64</v>
      </c>
      <c r="S42" s="159" t="s">
        <v>260</v>
      </c>
      <c r="T42" s="45"/>
      <c r="U42" s="13"/>
    </row>
    <row r="43" spans="1:21" ht="12.75">
      <c r="A43" s="43"/>
      <c r="B43" s="10" t="str">
        <f t="shared" si="0"/>
        <v>Leucanthemum: Snowcap</v>
      </c>
      <c r="C43" s="124" t="s">
        <v>6</v>
      </c>
      <c r="D43" s="125" t="s">
        <v>130</v>
      </c>
      <c r="E43" s="126" t="s">
        <v>62</v>
      </c>
      <c r="F43" s="127">
        <v>-13.4</v>
      </c>
      <c r="G43" s="127"/>
      <c r="H43" s="127"/>
      <c r="I43" s="128"/>
      <c r="J43" s="127"/>
      <c r="K43" s="127"/>
      <c r="L43" s="129"/>
      <c r="M43" s="128">
        <v>15</v>
      </c>
      <c r="N43" s="127">
        <v>27</v>
      </c>
      <c r="O43" s="127"/>
      <c r="P43" s="130" t="s">
        <v>108</v>
      </c>
      <c r="Q43" s="127" t="s">
        <v>65</v>
      </c>
      <c r="R43" s="131" t="s">
        <v>64</v>
      </c>
      <c r="S43" s="132" t="s">
        <v>117</v>
      </c>
      <c r="T43" s="45"/>
      <c r="U43" s="13"/>
    </row>
    <row r="44" spans="1:21" ht="12.75">
      <c r="A44" s="43"/>
      <c r="B44" s="10" t="str">
        <f t="shared" si="0"/>
        <v>Marigold (African): Antigua Primose</v>
      </c>
      <c r="C44" s="151" t="s">
        <v>70</v>
      </c>
      <c r="D44" s="152" t="s">
        <v>71</v>
      </c>
      <c r="E44" s="153" t="s">
        <v>62</v>
      </c>
      <c r="F44" s="154">
        <v>4.4</v>
      </c>
      <c r="G44" s="154"/>
      <c r="H44" s="154"/>
      <c r="I44" s="155"/>
      <c r="J44" s="154"/>
      <c r="K44" s="154"/>
      <c r="L44" s="156"/>
      <c r="M44" s="155">
        <v>5</v>
      </c>
      <c r="N44" s="154">
        <v>30</v>
      </c>
      <c r="O44" s="154">
        <v>10</v>
      </c>
      <c r="P44" s="157">
        <v>16</v>
      </c>
      <c r="Q44" s="154" t="s">
        <v>69</v>
      </c>
      <c r="R44" s="158" t="s">
        <v>64</v>
      </c>
      <c r="S44" s="159" t="s">
        <v>228</v>
      </c>
      <c r="T44" s="45"/>
      <c r="U44" s="13"/>
    </row>
    <row r="45" spans="1:21" ht="12.75">
      <c r="A45" s="43"/>
      <c r="B45" s="10" t="str">
        <f t="shared" si="0"/>
        <v>Marigold (American): Inca II Mix</v>
      </c>
      <c r="C45" s="124" t="s">
        <v>257</v>
      </c>
      <c r="D45" s="125" t="s">
        <v>258</v>
      </c>
      <c r="E45" s="126" t="s">
        <v>62</v>
      </c>
      <c r="F45" s="127">
        <v>0.1</v>
      </c>
      <c r="G45" s="127"/>
      <c r="H45" s="127"/>
      <c r="I45" s="128"/>
      <c r="J45" s="127"/>
      <c r="K45" s="127"/>
      <c r="L45" s="129"/>
      <c r="M45" s="128">
        <v>14</v>
      </c>
      <c r="N45" s="127">
        <v>26</v>
      </c>
      <c r="O45" s="127" t="s">
        <v>259</v>
      </c>
      <c r="P45" s="130">
        <v>16</v>
      </c>
      <c r="Q45" s="127" t="s">
        <v>65</v>
      </c>
      <c r="R45" s="131" t="s">
        <v>64</v>
      </c>
      <c r="S45" s="132" t="s">
        <v>260</v>
      </c>
      <c r="T45" s="45"/>
      <c r="U45" s="13"/>
    </row>
    <row r="46" spans="1:21" ht="12.75">
      <c r="A46" s="43"/>
      <c r="B46" s="10" t="str">
        <f t="shared" si="0"/>
        <v>Marigold (French): Janie Flame</v>
      </c>
      <c r="C46" s="151" t="s">
        <v>7</v>
      </c>
      <c r="D46" s="152" t="s">
        <v>82</v>
      </c>
      <c r="E46" s="153" t="s">
        <v>62</v>
      </c>
      <c r="F46" s="154">
        <v>1.1</v>
      </c>
      <c r="G46" s="154"/>
      <c r="H46" s="154"/>
      <c r="I46" s="155"/>
      <c r="J46" s="154"/>
      <c r="K46" s="154"/>
      <c r="L46" s="156"/>
      <c r="M46" s="155">
        <v>5</v>
      </c>
      <c r="N46" s="154">
        <v>30</v>
      </c>
      <c r="O46" s="154">
        <v>10</v>
      </c>
      <c r="P46" s="157">
        <v>16</v>
      </c>
      <c r="Q46" s="154" t="s">
        <v>69</v>
      </c>
      <c r="R46" s="158" t="s">
        <v>64</v>
      </c>
      <c r="S46" s="159" t="s">
        <v>228</v>
      </c>
      <c r="T46" s="45"/>
      <c r="U46" s="13"/>
    </row>
    <row r="47" spans="1:21" ht="12.75">
      <c r="A47" s="43"/>
      <c r="B47" s="10" t="str">
        <f t="shared" si="0"/>
        <v>Mecardonia: Gold Flake</v>
      </c>
      <c r="C47" s="124" t="s">
        <v>39</v>
      </c>
      <c r="D47" s="125" t="s">
        <v>153</v>
      </c>
      <c r="E47" s="126" t="s">
        <v>62</v>
      </c>
      <c r="F47" s="127">
        <v>9.487367887650205</v>
      </c>
      <c r="G47" s="127"/>
      <c r="H47" s="127"/>
      <c r="I47" s="128"/>
      <c r="J47" s="127"/>
      <c r="K47" s="127"/>
      <c r="L47" s="129"/>
      <c r="M47" s="128">
        <v>12</v>
      </c>
      <c r="N47" s="127">
        <v>28</v>
      </c>
      <c r="O47" s="127">
        <f>275*18*60*60/1000000</f>
        <v>17.82</v>
      </c>
      <c r="P47" s="130">
        <v>18</v>
      </c>
      <c r="Q47" s="127" t="s">
        <v>69</v>
      </c>
      <c r="R47" s="131" t="s">
        <v>62</v>
      </c>
      <c r="S47" s="132" t="s">
        <v>160</v>
      </c>
      <c r="T47" s="45"/>
      <c r="U47" s="13"/>
    </row>
    <row r="48" spans="1:21" ht="12.75">
      <c r="A48" s="43"/>
      <c r="B48" s="10" t="str">
        <f t="shared" si="0"/>
        <v>Nemesia: Poetry White</v>
      </c>
      <c r="C48" s="151" t="s">
        <v>273</v>
      </c>
      <c r="D48" s="152" t="s">
        <v>274</v>
      </c>
      <c r="E48" s="153" t="s">
        <v>62</v>
      </c>
      <c r="F48" s="154">
        <v>2.5</v>
      </c>
      <c r="G48" s="154"/>
      <c r="H48" s="154"/>
      <c r="I48" s="155"/>
      <c r="J48" s="154"/>
      <c r="K48" s="154"/>
      <c r="L48" s="156"/>
      <c r="M48" s="155">
        <v>14</v>
      </c>
      <c r="N48" s="154">
        <v>26</v>
      </c>
      <c r="O48" s="154" t="s">
        <v>259</v>
      </c>
      <c r="P48" s="157">
        <v>16</v>
      </c>
      <c r="Q48" s="154" t="s">
        <v>65</v>
      </c>
      <c r="R48" s="158" t="s">
        <v>64</v>
      </c>
      <c r="S48" s="159" t="s">
        <v>260</v>
      </c>
      <c r="T48" s="45"/>
      <c r="U48" s="13"/>
    </row>
    <row r="49" spans="1:21" ht="12.75">
      <c r="A49" s="43"/>
      <c r="B49" s="10" t="str">
        <f t="shared" si="0"/>
        <v>New Guinea impatiens: 22 cultivars tested (vegetative)</v>
      </c>
      <c r="C49" s="124" t="s">
        <v>20</v>
      </c>
      <c r="D49" s="125" t="s">
        <v>275</v>
      </c>
      <c r="E49" s="126" t="s">
        <v>68</v>
      </c>
      <c r="F49" s="127">
        <v>7.9761</v>
      </c>
      <c r="G49" s="127">
        <v>27.6008</v>
      </c>
      <c r="H49" s="127"/>
      <c r="I49" s="128">
        <v>7.9761</v>
      </c>
      <c r="J49" s="127">
        <v>27.6008</v>
      </c>
      <c r="K49" s="127">
        <v>40</v>
      </c>
      <c r="L49" s="129">
        <v>0.0148</v>
      </c>
      <c r="M49" s="128">
        <v>18</v>
      </c>
      <c r="N49" s="127">
        <v>26</v>
      </c>
      <c r="O49" s="127"/>
      <c r="P49" s="130">
        <v>16</v>
      </c>
      <c r="Q49" s="127" t="s">
        <v>65</v>
      </c>
      <c r="R49" s="131" t="s">
        <v>64</v>
      </c>
      <c r="S49" s="132" t="s">
        <v>159</v>
      </c>
      <c r="T49" s="45"/>
      <c r="U49" s="13"/>
    </row>
    <row r="50" spans="1:21" ht="12.75">
      <c r="A50" s="43"/>
      <c r="B50" s="10" t="str">
        <f t="shared" si="0"/>
        <v>New Guinea impatiens: Divine Cherry Red (seed)</v>
      </c>
      <c r="C50" s="151" t="s">
        <v>20</v>
      </c>
      <c r="D50" s="152" t="s">
        <v>276</v>
      </c>
      <c r="E50" s="153" t="s">
        <v>62</v>
      </c>
      <c r="F50" s="154">
        <v>2.4</v>
      </c>
      <c r="G50" s="154"/>
      <c r="H50" s="154"/>
      <c r="I50" s="155"/>
      <c r="J50" s="154"/>
      <c r="K50" s="154"/>
      <c r="L50" s="156"/>
      <c r="M50" s="155">
        <v>14</v>
      </c>
      <c r="N50" s="154">
        <v>26</v>
      </c>
      <c r="O50" s="154" t="s">
        <v>259</v>
      </c>
      <c r="P50" s="157">
        <v>16</v>
      </c>
      <c r="Q50" s="154" t="s">
        <v>65</v>
      </c>
      <c r="R50" s="158" t="s">
        <v>64</v>
      </c>
      <c r="S50" s="159" t="s">
        <v>260</v>
      </c>
      <c r="T50" s="45"/>
      <c r="U50" s="13"/>
    </row>
    <row r="51" spans="1:21" ht="12.75">
      <c r="A51" s="43"/>
      <c r="B51" s="10" t="str">
        <f t="shared" si="0"/>
        <v>Osteospermum: Asti Purple</v>
      </c>
      <c r="C51" s="124" t="s">
        <v>40</v>
      </c>
      <c r="D51" s="125" t="s">
        <v>277</v>
      </c>
      <c r="E51" s="126" t="s">
        <v>62</v>
      </c>
      <c r="F51" s="127">
        <v>-0.5</v>
      </c>
      <c r="G51" s="127"/>
      <c r="H51" s="127"/>
      <c r="I51" s="128"/>
      <c r="J51" s="127"/>
      <c r="K51" s="127"/>
      <c r="L51" s="129"/>
      <c r="M51" s="128">
        <v>14</v>
      </c>
      <c r="N51" s="127">
        <v>26</v>
      </c>
      <c r="O51" s="127" t="s">
        <v>259</v>
      </c>
      <c r="P51" s="130">
        <v>16</v>
      </c>
      <c r="Q51" s="127" t="s">
        <v>65</v>
      </c>
      <c r="R51" s="131" t="s">
        <v>64</v>
      </c>
      <c r="S51" s="132" t="s">
        <v>260</v>
      </c>
      <c r="T51" s="45"/>
      <c r="U51" s="13"/>
    </row>
    <row r="52" spans="1:21" ht="12.75">
      <c r="A52" s="43"/>
      <c r="B52" s="10" t="str">
        <f t="shared" si="0"/>
        <v>Osteospermum: Orange Symphony</v>
      </c>
      <c r="C52" s="151" t="s">
        <v>40</v>
      </c>
      <c r="D52" s="152" t="s">
        <v>155</v>
      </c>
      <c r="E52" s="153" t="s">
        <v>68</v>
      </c>
      <c r="F52" s="154">
        <v>6.6</v>
      </c>
      <c r="G52" s="154">
        <v>22.898</v>
      </c>
      <c r="H52" s="154">
        <v>28</v>
      </c>
      <c r="I52" s="155">
        <v>6.5576</v>
      </c>
      <c r="J52" s="154">
        <v>22.898</v>
      </c>
      <c r="K52" s="154">
        <v>40</v>
      </c>
      <c r="L52" s="156">
        <v>0.0223</v>
      </c>
      <c r="M52" s="155">
        <v>12</v>
      </c>
      <c r="N52" s="154">
        <v>28</v>
      </c>
      <c r="O52" s="154">
        <f>275*18*60*60/1000000</f>
        <v>17.82</v>
      </c>
      <c r="P52" s="157">
        <v>18</v>
      </c>
      <c r="Q52" s="154" t="s">
        <v>69</v>
      </c>
      <c r="R52" s="158" t="s">
        <v>62</v>
      </c>
      <c r="S52" s="159" t="s">
        <v>160</v>
      </c>
      <c r="T52" s="45"/>
      <c r="U52" s="13"/>
    </row>
    <row r="53" spans="1:21" ht="12.75">
      <c r="A53" s="43"/>
      <c r="B53" s="10" t="str">
        <f t="shared" si="0"/>
        <v>Osteospermum: Soprano Purple</v>
      </c>
      <c r="C53" s="124" t="s">
        <v>40</v>
      </c>
      <c r="D53" s="125" t="s">
        <v>154</v>
      </c>
      <c r="E53" s="126" t="s">
        <v>68</v>
      </c>
      <c r="F53" s="127">
        <v>10.3</v>
      </c>
      <c r="G53" s="127">
        <v>17.2</v>
      </c>
      <c r="H53" s="127"/>
      <c r="I53" s="128">
        <v>10.3142</v>
      </c>
      <c r="J53" s="127">
        <v>17.1658</v>
      </c>
      <c r="K53" s="127">
        <v>40</v>
      </c>
      <c r="L53" s="129">
        <v>0.0198</v>
      </c>
      <c r="M53" s="128">
        <v>12</v>
      </c>
      <c r="N53" s="127">
        <v>28</v>
      </c>
      <c r="O53" s="127">
        <f>275*18*60*60/1000000</f>
        <v>17.82</v>
      </c>
      <c r="P53" s="130">
        <v>18</v>
      </c>
      <c r="Q53" s="127" t="s">
        <v>69</v>
      </c>
      <c r="R53" s="131" t="s">
        <v>62</v>
      </c>
      <c r="S53" s="132" t="s">
        <v>160</v>
      </c>
      <c r="T53" s="45"/>
      <c r="U53" s="13"/>
    </row>
    <row r="54" spans="1:21" ht="12.75">
      <c r="A54" s="43"/>
      <c r="B54" s="10" t="str">
        <f t="shared" si="0"/>
        <v>Pentas: Graffiti Lavender</v>
      </c>
      <c r="C54" s="151" t="s">
        <v>85</v>
      </c>
      <c r="D54" s="152" t="s">
        <v>86</v>
      </c>
      <c r="E54" s="153" t="s">
        <v>68</v>
      </c>
      <c r="F54" s="154">
        <v>9.3</v>
      </c>
      <c r="G54" s="154">
        <v>27.8</v>
      </c>
      <c r="H54" s="154"/>
      <c r="I54" s="155">
        <v>9.3</v>
      </c>
      <c r="J54" s="154">
        <v>27.8</v>
      </c>
      <c r="K54" s="154">
        <v>35</v>
      </c>
      <c r="L54" s="156">
        <v>0.0274</v>
      </c>
      <c r="M54" s="155">
        <v>5</v>
      </c>
      <c r="N54" s="154">
        <v>30</v>
      </c>
      <c r="O54" s="154">
        <v>10</v>
      </c>
      <c r="P54" s="157">
        <v>16</v>
      </c>
      <c r="Q54" s="154" t="s">
        <v>69</v>
      </c>
      <c r="R54" s="158" t="s">
        <v>64</v>
      </c>
      <c r="S54" s="159" t="s">
        <v>228</v>
      </c>
      <c r="T54" s="45"/>
      <c r="U54" s="13"/>
    </row>
    <row r="55" spans="1:21" ht="12.75">
      <c r="A55" s="43"/>
      <c r="B55" s="10" t="str">
        <f t="shared" si="0"/>
        <v>Petunia: Avalanche Pink</v>
      </c>
      <c r="C55" s="124" t="s">
        <v>156</v>
      </c>
      <c r="D55" s="125" t="s">
        <v>179</v>
      </c>
      <c r="E55" s="126" t="s">
        <v>62</v>
      </c>
      <c r="F55" s="127">
        <v>4.5</v>
      </c>
      <c r="G55" s="127"/>
      <c r="H55" s="127"/>
      <c r="I55" s="128"/>
      <c r="J55" s="127"/>
      <c r="K55" s="127"/>
      <c r="L55" s="129"/>
      <c r="M55" s="128">
        <v>12</v>
      </c>
      <c r="N55" s="127">
        <v>24</v>
      </c>
      <c r="O55" s="127">
        <v>22.7</v>
      </c>
      <c r="P55" s="130">
        <v>18</v>
      </c>
      <c r="Q55" s="127" t="s">
        <v>69</v>
      </c>
      <c r="R55" s="131" t="s">
        <v>64</v>
      </c>
      <c r="S55" s="132" t="s">
        <v>181</v>
      </c>
      <c r="T55" s="45"/>
      <c r="U55" s="13"/>
    </row>
    <row r="56" spans="1:21" ht="12.75">
      <c r="A56" s="43"/>
      <c r="B56" s="10" t="str">
        <f t="shared" si="0"/>
        <v>Petunia: Bravo Blue</v>
      </c>
      <c r="C56" s="151" t="s">
        <v>156</v>
      </c>
      <c r="D56" s="152" t="s">
        <v>278</v>
      </c>
      <c r="E56" s="153" t="s">
        <v>62</v>
      </c>
      <c r="F56" s="154">
        <v>4.1</v>
      </c>
      <c r="G56" s="154"/>
      <c r="H56" s="154"/>
      <c r="I56" s="155"/>
      <c r="J56" s="154"/>
      <c r="K56" s="154"/>
      <c r="L56" s="156"/>
      <c r="M56" s="155">
        <v>14</v>
      </c>
      <c r="N56" s="154">
        <v>26</v>
      </c>
      <c r="O56" s="154" t="s">
        <v>259</v>
      </c>
      <c r="P56" s="157">
        <v>16</v>
      </c>
      <c r="Q56" s="154" t="s">
        <v>65</v>
      </c>
      <c r="R56" s="158" t="s">
        <v>64</v>
      </c>
      <c r="S56" s="159" t="s">
        <v>260</v>
      </c>
      <c r="T56" s="45"/>
      <c r="U56" s="13"/>
    </row>
    <row r="57" spans="1:21" ht="12.75">
      <c r="A57" s="43"/>
      <c r="B57" s="10" t="str">
        <f t="shared" si="0"/>
        <v>Petunia: Classic Wave Purple</v>
      </c>
      <c r="C57" s="124" t="s">
        <v>156</v>
      </c>
      <c r="D57" s="125" t="s">
        <v>178</v>
      </c>
      <c r="E57" s="126" t="s">
        <v>62</v>
      </c>
      <c r="F57" s="127">
        <v>5.5</v>
      </c>
      <c r="G57" s="127"/>
      <c r="H57" s="127"/>
      <c r="I57" s="128"/>
      <c r="J57" s="127"/>
      <c r="K57" s="127"/>
      <c r="L57" s="129"/>
      <c r="M57" s="128">
        <v>5</v>
      </c>
      <c r="N57" s="127">
        <v>30</v>
      </c>
      <c r="O57" s="127">
        <v>10</v>
      </c>
      <c r="P57" s="130">
        <v>16</v>
      </c>
      <c r="Q57" s="127" t="s">
        <v>69</v>
      </c>
      <c r="R57" s="131" t="s">
        <v>64</v>
      </c>
      <c r="S57" s="132" t="s">
        <v>228</v>
      </c>
      <c r="T57" s="45"/>
      <c r="U57" s="13"/>
    </row>
    <row r="58" spans="1:21" ht="12.75">
      <c r="A58" s="43"/>
      <c r="B58" s="10" t="str">
        <f t="shared" si="0"/>
        <v>Petunia: Dreams Neon Rose</v>
      </c>
      <c r="C58" s="151" t="s">
        <v>156</v>
      </c>
      <c r="D58" s="152" t="s">
        <v>87</v>
      </c>
      <c r="E58" s="153" t="s">
        <v>62</v>
      </c>
      <c r="F58" s="154">
        <v>2.8</v>
      </c>
      <c r="G58" s="154"/>
      <c r="H58" s="154"/>
      <c r="I58" s="155"/>
      <c r="J58" s="154"/>
      <c r="K58" s="154"/>
      <c r="L58" s="156"/>
      <c r="M58" s="155">
        <v>5</v>
      </c>
      <c r="N58" s="154">
        <v>30</v>
      </c>
      <c r="O58" s="154">
        <v>10</v>
      </c>
      <c r="P58" s="157">
        <v>16</v>
      </c>
      <c r="Q58" s="154" t="s">
        <v>69</v>
      </c>
      <c r="R58" s="158" t="s">
        <v>64</v>
      </c>
      <c r="S58" s="159" t="s">
        <v>228</v>
      </c>
      <c r="T58" s="45"/>
      <c r="U58" s="13"/>
    </row>
    <row r="59" spans="1:21" ht="12.75">
      <c r="A59" s="43"/>
      <c r="B59" s="10" t="str">
        <f t="shared" si="0"/>
        <v>Petunia: Dreams Rose</v>
      </c>
      <c r="C59" s="124" t="s">
        <v>156</v>
      </c>
      <c r="D59" s="125" t="s">
        <v>180</v>
      </c>
      <c r="E59" s="126" t="s">
        <v>62</v>
      </c>
      <c r="F59" s="127">
        <v>4.2</v>
      </c>
      <c r="G59" s="127"/>
      <c r="H59" s="127"/>
      <c r="I59" s="128"/>
      <c r="J59" s="127"/>
      <c r="K59" s="127"/>
      <c r="L59" s="129"/>
      <c r="M59" s="128">
        <v>12</v>
      </c>
      <c r="N59" s="127">
        <v>24</v>
      </c>
      <c r="O59" s="127">
        <v>22.7</v>
      </c>
      <c r="P59" s="130">
        <v>18</v>
      </c>
      <c r="Q59" s="127" t="s">
        <v>69</v>
      </c>
      <c r="R59" s="131" t="s">
        <v>64</v>
      </c>
      <c r="S59" s="132" t="s">
        <v>181</v>
      </c>
      <c r="T59" s="45"/>
      <c r="U59" s="13"/>
    </row>
    <row r="60" spans="1:21" ht="12.75">
      <c r="A60" s="43"/>
      <c r="B60" s="10" t="str">
        <f t="shared" si="0"/>
        <v>Petunia: Easy Wave Coral Reef</v>
      </c>
      <c r="C60" s="151" t="s">
        <v>156</v>
      </c>
      <c r="D60" s="152" t="s">
        <v>88</v>
      </c>
      <c r="E60" s="153" t="s">
        <v>62</v>
      </c>
      <c r="F60" s="154">
        <v>7.3</v>
      </c>
      <c r="G60" s="154"/>
      <c r="H60" s="154"/>
      <c r="I60" s="155"/>
      <c r="J60" s="154"/>
      <c r="K60" s="154"/>
      <c r="L60" s="156"/>
      <c r="M60" s="155">
        <v>14.2</v>
      </c>
      <c r="N60" s="154">
        <v>23</v>
      </c>
      <c r="O60" s="154" t="s">
        <v>89</v>
      </c>
      <c r="P60" s="157">
        <v>16</v>
      </c>
      <c r="Q60" s="154" t="s">
        <v>65</v>
      </c>
      <c r="R60" s="158" t="s">
        <v>64</v>
      </c>
      <c r="S60" s="159" t="s">
        <v>63</v>
      </c>
      <c r="T60" s="45"/>
      <c r="U60" s="13"/>
    </row>
    <row r="61" spans="1:21" ht="12.75">
      <c r="A61" s="43"/>
      <c r="B61" s="10" t="str">
        <f t="shared" si="0"/>
        <v>Petunia: Supertunia Bordeaux</v>
      </c>
      <c r="C61" s="124" t="s">
        <v>156</v>
      </c>
      <c r="D61" s="125" t="s">
        <v>157</v>
      </c>
      <c r="E61" s="126" t="s">
        <v>62</v>
      </c>
      <c r="F61" s="127">
        <v>7.0429447852760765</v>
      </c>
      <c r="G61" s="127"/>
      <c r="H61" s="127"/>
      <c r="I61" s="128"/>
      <c r="J61" s="127"/>
      <c r="K61" s="127"/>
      <c r="L61" s="129"/>
      <c r="M61" s="128">
        <v>12</v>
      </c>
      <c r="N61" s="127">
        <v>28</v>
      </c>
      <c r="O61" s="127">
        <f>275*18*60*60/1000000</f>
        <v>17.82</v>
      </c>
      <c r="P61" s="130">
        <v>18</v>
      </c>
      <c r="Q61" s="127" t="s">
        <v>69</v>
      </c>
      <c r="R61" s="131" t="s">
        <v>62</v>
      </c>
      <c r="S61" s="132" t="s">
        <v>160</v>
      </c>
      <c r="T61" s="45"/>
      <c r="U61" s="13"/>
    </row>
    <row r="62" spans="1:21" ht="12.75">
      <c r="A62" s="43"/>
      <c r="B62" s="10" t="str">
        <f t="shared" si="0"/>
        <v>Petunia: Sylvana Malve</v>
      </c>
      <c r="C62" s="151" t="s">
        <v>156</v>
      </c>
      <c r="D62" s="152" t="s">
        <v>182</v>
      </c>
      <c r="E62" s="153" t="s">
        <v>62</v>
      </c>
      <c r="F62" s="154">
        <v>5.3</v>
      </c>
      <c r="G62" s="154"/>
      <c r="H62" s="154"/>
      <c r="I62" s="155"/>
      <c r="J62" s="154"/>
      <c r="K62" s="154"/>
      <c r="L62" s="156"/>
      <c r="M62" s="155">
        <v>6</v>
      </c>
      <c r="N62" s="154">
        <v>26</v>
      </c>
      <c r="O62" s="154"/>
      <c r="P62" s="157">
        <v>15.4</v>
      </c>
      <c r="Q62" s="154" t="s">
        <v>69</v>
      </c>
      <c r="R62" s="158" t="s">
        <v>64</v>
      </c>
      <c r="S62" s="159" t="s">
        <v>183</v>
      </c>
      <c r="T62" s="45"/>
      <c r="U62" s="13"/>
    </row>
    <row r="63" spans="1:21" ht="12.75">
      <c r="A63" s="43"/>
      <c r="B63" s="10" t="str">
        <f t="shared" si="0"/>
        <v>Phalaenopsis orchid: Model developed with 4 hybrids</v>
      </c>
      <c r="C63" s="124" t="s">
        <v>21</v>
      </c>
      <c r="D63" s="125" t="s">
        <v>149</v>
      </c>
      <c r="E63" s="126" t="s">
        <v>62</v>
      </c>
      <c r="F63" s="127">
        <v>10.6</v>
      </c>
      <c r="G63" s="127"/>
      <c r="H63" s="127"/>
      <c r="I63" s="128"/>
      <c r="J63" s="127"/>
      <c r="K63" s="127"/>
      <c r="L63" s="129"/>
      <c r="M63" s="128">
        <v>14</v>
      </c>
      <c r="N63" s="127">
        <v>26</v>
      </c>
      <c r="O63" s="127"/>
      <c r="P63" s="130"/>
      <c r="Q63" s="127" t="s">
        <v>65</v>
      </c>
      <c r="R63" s="131" t="s">
        <v>64</v>
      </c>
      <c r="S63" s="132" t="s">
        <v>148</v>
      </c>
      <c r="T63" s="45"/>
      <c r="U63" s="13"/>
    </row>
    <row r="64" spans="1:21" ht="12.75">
      <c r="A64" s="43"/>
      <c r="B64" s="10" t="str">
        <f t="shared" si="0"/>
        <v>Phlox paniculata: Eva Cullum</v>
      </c>
      <c r="C64" s="151" t="s">
        <v>131</v>
      </c>
      <c r="D64" s="152" t="s">
        <v>132</v>
      </c>
      <c r="E64" s="153" t="s">
        <v>62</v>
      </c>
      <c r="F64" s="154">
        <v>-19.4</v>
      </c>
      <c r="G64" s="154"/>
      <c r="H64" s="154"/>
      <c r="I64" s="155"/>
      <c r="J64" s="154"/>
      <c r="K64" s="154"/>
      <c r="L64" s="156"/>
      <c r="M64" s="155">
        <v>17</v>
      </c>
      <c r="N64" s="154">
        <v>29</v>
      </c>
      <c r="O64" s="154"/>
      <c r="P64" s="157">
        <v>16</v>
      </c>
      <c r="Q64" s="154" t="s">
        <v>65</v>
      </c>
      <c r="R64" s="158" t="s">
        <v>64</v>
      </c>
      <c r="S64" s="159" t="s">
        <v>107</v>
      </c>
      <c r="T64" s="45"/>
      <c r="U64" s="13"/>
    </row>
    <row r="65" spans="1:21" ht="12.75">
      <c r="A65" s="43"/>
      <c r="B65" s="10" t="str">
        <f t="shared" si="0"/>
        <v>Phlox subulata: Emerald Blue</v>
      </c>
      <c r="C65" s="124" t="s">
        <v>133</v>
      </c>
      <c r="D65" s="125" t="s">
        <v>134</v>
      </c>
      <c r="E65" s="126" t="s">
        <v>62</v>
      </c>
      <c r="F65" s="127">
        <v>1.5</v>
      </c>
      <c r="G65" s="127"/>
      <c r="H65" s="127"/>
      <c r="I65" s="128"/>
      <c r="J65" s="127"/>
      <c r="K65" s="127"/>
      <c r="L65" s="129"/>
      <c r="M65" s="128">
        <v>17</v>
      </c>
      <c r="N65" s="127">
        <v>29</v>
      </c>
      <c r="O65" s="127"/>
      <c r="P65" s="130">
        <v>16</v>
      </c>
      <c r="Q65" s="127" t="s">
        <v>65</v>
      </c>
      <c r="R65" s="131" t="s">
        <v>64</v>
      </c>
      <c r="S65" s="132" t="s">
        <v>107</v>
      </c>
      <c r="T65" s="45"/>
      <c r="U65" s="13"/>
    </row>
    <row r="66" spans="1:21" ht="12.75">
      <c r="A66" s="43"/>
      <c r="B66" s="10" t="str">
        <f t="shared" si="0"/>
        <v>Poinsettia: Annette Hegg Dark Red</v>
      </c>
      <c r="C66" s="151" t="s">
        <v>22</v>
      </c>
      <c r="D66" s="152" t="s">
        <v>124</v>
      </c>
      <c r="E66" s="153" t="s">
        <v>62</v>
      </c>
      <c r="F66" s="154">
        <v>10</v>
      </c>
      <c r="G66" s="154">
        <v>26</v>
      </c>
      <c r="H66" s="154"/>
      <c r="I66" s="155"/>
      <c r="J66" s="154"/>
      <c r="K66" s="154"/>
      <c r="L66" s="156"/>
      <c r="M66" s="155">
        <v>15</v>
      </c>
      <c r="N66" s="154">
        <v>30</v>
      </c>
      <c r="O66" s="154"/>
      <c r="P66" s="157">
        <v>16</v>
      </c>
      <c r="Q66" s="154" t="s">
        <v>69</v>
      </c>
      <c r="R66" s="158" t="s">
        <v>64</v>
      </c>
      <c r="S66" s="159" t="s">
        <v>123</v>
      </c>
      <c r="T66" s="45"/>
      <c r="U66" s="13"/>
    </row>
    <row r="67" spans="1:21" ht="12.75">
      <c r="A67" s="43"/>
      <c r="B67" s="10" t="str">
        <f t="shared" si="0"/>
        <v>Portulaca: Margarita Apricot</v>
      </c>
      <c r="C67" s="124" t="s">
        <v>84</v>
      </c>
      <c r="D67" s="125" t="s">
        <v>174</v>
      </c>
      <c r="E67" s="126" t="s">
        <v>68</v>
      </c>
      <c r="F67" s="127">
        <v>8.9</v>
      </c>
      <c r="G67" s="127">
        <v>23.9</v>
      </c>
      <c r="H67" s="127"/>
      <c r="I67" s="128">
        <v>8.9</v>
      </c>
      <c r="J67" s="127">
        <v>23.9</v>
      </c>
      <c r="K67" s="127">
        <v>31.7</v>
      </c>
      <c r="L67" s="129">
        <v>0.0316</v>
      </c>
      <c r="M67" s="128">
        <v>5</v>
      </c>
      <c r="N67" s="127">
        <v>30</v>
      </c>
      <c r="O67" s="127">
        <v>10</v>
      </c>
      <c r="P67" s="130">
        <v>16</v>
      </c>
      <c r="Q67" s="127" t="s">
        <v>69</v>
      </c>
      <c r="R67" s="131" t="s">
        <v>64</v>
      </c>
      <c r="S67" s="132" t="s">
        <v>228</v>
      </c>
      <c r="T67" s="45"/>
      <c r="U67" s="13"/>
    </row>
    <row r="68" spans="1:23" ht="12.75">
      <c r="A68" s="43"/>
      <c r="B68" s="10" t="str">
        <f t="shared" si="0"/>
        <v>Rose: Cara Mia, Kardinal, Sonia, Royalty</v>
      </c>
      <c r="C68" s="151" t="s">
        <v>23</v>
      </c>
      <c r="D68" s="152" t="s">
        <v>253</v>
      </c>
      <c r="E68" s="153" t="s">
        <v>62</v>
      </c>
      <c r="F68" s="154">
        <v>5.2</v>
      </c>
      <c r="G68" s="154"/>
      <c r="H68" s="154"/>
      <c r="I68" s="155"/>
      <c r="J68" s="154"/>
      <c r="K68" s="154"/>
      <c r="L68" s="156"/>
      <c r="M68" s="155">
        <v>4.5</v>
      </c>
      <c r="N68" s="154">
        <v>35</v>
      </c>
      <c r="O68" s="154" t="s">
        <v>251</v>
      </c>
      <c r="P68" s="157" t="s">
        <v>250</v>
      </c>
      <c r="Q68" s="154" t="s">
        <v>65</v>
      </c>
      <c r="R68" s="158" t="s">
        <v>64</v>
      </c>
      <c r="S68" s="159" t="s">
        <v>252</v>
      </c>
      <c r="T68" s="45"/>
      <c r="U68" s="13"/>
      <c r="V68" s="2"/>
      <c r="W68" s="2"/>
    </row>
    <row r="69" spans="1:21" ht="12.75">
      <c r="A69" s="43"/>
      <c r="B69" s="10" t="str">
        <f t="shared" si="0"/>
        <v>Rudbeckia (annual): Toto Rustic</v>
      </c>
      <c r="C69" s="124" t="s">
        <v>73</v>
      </c>
      <c r="D69" s="125" t="s">
        <v>74</v>
      </c>
      <c r="E69" s="126" t="s">
        <v>62</v>
      </c>
      <c r="F69" s="127">
        <v>4.6</v>
      </c>
      <c r="G69" s="127"/>
      <c r="H69" s="127"/>
      <c r="I69" s="128"/>
      <c r="J69" s="127"/>
      <c r="K69" s="127"/>
      <c r="L69" s="129"/>
      <c r="M69" s="128">
        <v>5</v>
      </c>
      <c r="N69" s="127">
        <v>30</v>
      </c>
      <c r="O69" s="127">
        <v>10</v>
      </c>
      <c r="P69" s="130">
        <v>16</v>
      </c>
      <c r="Q69" s="127" t="s">
        <v>69</v>
      </c>
      <c r="R69" s="131" t="s">
        <v>64</v>
      </c>
      <c r="S69" s="132" t="s">
        <v>228</v>
      </c>
      <c r="T69" s="45"/>
      <c r="U69" s="13"/>
    </row>
    <row r="70" spans="1:21" ht="12.75">
      <c r="A70" s="43"/>
      <c r="B70" s="10" t="str">
        <f t="shared" si="0"/>
        <v>Rudbeckia (perennial): Goldsturm</v>
      </c>
      <c r="C70" s="151" t="s">
        <v>72</v>
      </c>
      <c r="D70" s="152" t="s">
        <v>135</v>
      </c>
      <c r="E70" s="153" t="s">
        <v>62</v>
      </c>
      <c r="F70" s="154">
        <v>1.3</v>
      </c>
      <c r="G70" s="154"/>
      <c r="H70" s="154"/>
      <c r="I70" s="155"/>
      <c r="J70" s="154"/>
      <c r="K70" s="154"/>
      <c r="L70" s="156"/>
      <c r="M70" s="155">
        <v>15</v>
      </c>
      <c r="N70" s="154">
        <v>27</v>
      </c>
      <c r="O70" s="154"/>
      <c r="P70" s="157" t="s">
        <v>108</v>
      </c>
      <c r="Q70" s="154" t="s">
        <v>65</v>
      </c>
      <c r="R70" s="158" t="s">
        <v>64</v>
      </c>
      <c r="S70" s="159" t="s">
        <v>117</v>
      </c>
      <c r="T70" s="45"/>
      <c r="U70" s="13"/>
    </row>
    <row r="71" spans="1:21" ht="12.75">
      <c r="A71" s="43"/>
      <c r="B71" s="10" t="str">
        <f t="shared" si="0"/>
        <v>Salvia splendens: Vista Red</v>
      </c>
      <c r="C71" s="124" t="s">
        <v>142</v>
      </c>
      <c r="D71" s="125" t="s">
        <v>144</v>
      </c>
      <c r="E71" s="126" t="s">
        <v>62</v>
      </c>
      <c r="F71" s="127">
        <v>7</v>
      </c>
      <c r="G71" s="127"/>
      <c r="H71" s="127"/>
      <c r="I71" s="128"/>
      <c r="J71" s="127"/>
      <c r="K71" s="127"/>
      <c r="L71" s="129"/>
      <c r="M71" s="128">
        <v>14</v>
      </c>
      <c r="N71" s="127">
        <v>27</v>
      </c>
      <c r="O71" s="127" t="s">
        <v>138</v>
      </c>
      <c r="P71" s="130">
        <v>16</v>
      </c>
      <c r="Q71" s="127" t="s">
        <v>65</v>
      </c>
      <c r="R71" s="131" t="s">
        <v>64</v>
      </c>
      <c r="S71" s="132" t="s">
        <v>143</v>
      </c>
      <c r="T71" s="45"/>
      <c r="U71" s="13"/>
    </row>
    <row r="72" spans="1:21" ht="12.75">
      <c r="A72" s="43"/>
      <c r="B72" s="10" t="str">
        <f t="shared" si="0"/>
        <v>Scaevola: New Wonder</v>
      </c>
      <c r="C72" s="151" t="s">
        <v>41</v>
      </c>
      <c r="D72" s="152" t="s">
        <v>42</v>
      </c>
      <c r="E72" s="153" t="s">
        <v>62</v>
      </c>
      <c r="F72" s="154">
        <v>6.444622203463856</v>
      </c>
      <c r="G72" s="154"/>
      <c r="H72" s="154"/>
      <c r="I72" s="155"/>
      <c r="J72" s="154"/>
      <c r="K72" s="154"/>
      <c r="L72" s="156"/>
      <c r="M72" s="155">
        <v>12</v>
      </c>
      <c r="N72" s="154">
        <v>28</v>
      </c>
      <c r="O72" s="154">
        <f>275*18*60*60/1000000</f>
        <v>17.82</v>
      </c>
      <c r="P72" s="157">
        <v>18</v>
      </c>
      <c r="Q72" s="154" t="s">
        <v>69</v>
      </c>
      <c r="R72" s="158" t="s">
        <v>62</v>
      </c>
      <c r="S72" s="159" t="s">
        <v>160</v>
      </c>
      <c r="T72" s="45"/>
      <c r="U72" s="13"/>
    </row>
    <row r="73" spans="1:21" ht="12.75">
      <c r="A73" s="43"/>
      <c r="B73" s="10" t="str">
        <f t="shared" si="0"/>
        <v>Scaevola: Whirlwind Blue</v>
      </c>
      <c r="C73" s="124" t="s">
        <v>41</v>
      </c>
      <c r="D73" s="125" t="s">
        <v>43</v>
      </c>
      <c r="E73" s="126" t="s">
        <v>62</v>
      </c>
      <c r="F73" s="127">
        <v>5.259665680236738</v>
      </c>
      <c r="G73" s="127"/>
      <c r="H73" s="127"/>
      <c r="I73" s="128"/>
      <c r="J73" s="127"/>
      <c r="K73" s="127"/>
      <c r="L73" s="129"/>
      <c r="M73" s="128">
        <v>12</v>
      </c>
      <c r="N73" s="127">
        <v>28</v>
      </c>
      <c r="O73" s="127">
        <f>275*18*60*60/1000000</f>
        <v>17.82</v>
      </c>
      <c r="P73" s="130">
        <v>18</v>
      </c>
      <c r="Q73" s="127" t="s">
        <v>69</v>
      </c>
      <c r="R73" s="131" t="s">
        <v>62</v>
      </c>
      <c r="S73" s="132" t="s">
        <v>160</v>
      </c>
      <c r="T73" s="45"/>
      <c r="U73" s="13"/>
    </row>
    <row r="74" spans="1:21" ht="12.75">
      <c r="A74" s="43"/>
      <c r="B74" s="10" t="str">
        <f t="shared" si="0"/>
        <v>Sedum: Autumn Joy</v>
      </c>
      <c r="C74" s="151" t="s">
        <v>136</v>
      </c>
      <c r="D74" s="152" t="s">
        <v>137</v>
      </c>
      <c r="E74" s="153" t="s">
        <v>62</v>
      </c>
      <c r="F74" s="154">
        <v>-20.9</v>
      </c>
      <c r="G74" s="154">
        <v>24</v>
      </c>
      <c r="H74" s="154"/>
      <c r="I74" s="155"/>
      <c r="J74" s="154"/>
      <c r="K74" s="154"/>
      <c r="L74" s="156"/>
      <c r="M74" s="155">
        <v>17</v>
      </c>
      <c r="N74" s="154">
        <v>29</v>
      </c>
      <c r="O74" s="154"/>
      <c r="P74" s="157" t="s">
        <v>108</v>
      </c>
      <c r="Q74" s="154" t="s">
        <v>65</v>
      </c>
      <c r="R74" s="158" t="s">
        <v>64</v>
      </c>
      <c r="S74" s="159" t="s">
        <v>107</v>
      </c>
      <c r="T74" s="45"/>
      <c r="U74" s="13"/>
    </row>
    <row r="75" spans="1:21" ht="12.75">
      <c r="A75" s="43"/>
      <c r="B75" s="10" t="str">
        <f t="shared" si="0"/>
        <v>Snapdragon: Montego Orange Bicolor</v>
      </c>
      <c r="C75" s="124" t="s">
        <v>8</v>
      </c>
      <c r="D75" s="125" t="s">
        <v>90</v>
      </c>
      <c r="E75" s="126" t="s">
        <v>68</v>
      </c>
      <c r="F75" s="127">
        <v>2</v>
      </c>
      <c r="G75" s="127">
        <v>25.7</v>
      </c>
      <c r="H75" s="127"/>
      <c r="I75" s="128">
        <v>2</v>
      </c>
      <c r="J75" s="127">
        <v>25.7</v>
      </c>
      <c r="K75" s="127">
        <v>30.3</v>
      </c>
      <c r="L75" s="129">
        <v>0.0428</v>
      </c>
      <c r="M75" s="128">
        <v>5</v>
      </c>
      <c r="N75" s="127">
        <v>30</v>
      </c>
      <c r="O75" s="127">
        <v>10</v>
      </c>
      <c r="P75" s="130">
        <v>16</v>
      </c>
      <c r="Q75" s="127" t="s">
        <v>69</v>
      </c>
      <c r="R75" s="131" t="s">
        <v>64</v>
      </c>
      <c r="S75" s="132" t="s">
        <v>228</v>
      </c>
      <c r="T75" s="45"/>
      <c r="U75" s="13"/>
    </row>
    <row r="76" spans="1:21" ht="12.75">
      <c r="A76" s="43"/>
      <c r="B76" s="10" t="str">
        <f t="shared" si="0"/>
        <v>Stock: Hot Cakes Purple</v>
      </c>
      <c r="C76" s="151" t="s">
        <v>279</v>
      </c>
      <c r="D76" s="152" t="s">
        <v>280</v>
      </c>
      <c r="E76" s="153" t="s">
        <v>62</v>
      </c>
      <c r="F76" s="154">
        <v>3</v>
      </c>
      <c r="G76" s="154"/>
      <c r="H76" s="154"/>
      <c r="I76" s="155"/>
      <c r="J76" s="154"/>
      <c r="K76" s="154"/>
      <c r="L76" s="156"/>
      <c r="M76" s="155">
        <v>14</v>
      </c>
      <c r="N76" s="154">
        <v>26</v>
      </c>
      <c r="O76" s="154" t="s">
        <v>259</v>
      </c>
      <c r="P76" s="157">
        <v>16</v>
      </c>
      <c r="Q76" s="154" t="s">
        <v>65</v>
      </c>
      <c r="R76" s="158" t="s">
        <v>64</v>
      </c>
      <c r="S76" s="159" t="s">
        <v>260</v>
      </c>
      <c r="T76" s="45"/>
      <c r="U76" s="13"/>
    </row>
    <row r="77" spans="1:21" ht="12.75">
      <c r="A77" s="43"/>
      <c r="B77" s="10" t="str">
        <f t="shared" si="0"/>
        <v>Torenia: Clown Blue</v>
      </c>
      <c r="C77" s="124" t="s">
        <v>281</v>
      </c>
      <c r="D77" s="125" t="s">
        <v>282</v>
      </c>
      <c r="E77" s="126" t="s">
        <v>62</v>
      </c>
      <c r="F77" s="127">
        <v>9.1</v>
      </c>
      <c r="G77" s="127"/>
      <c r="H77" s="127"/>
      <c r="I77" s="128"/>
      <c r="J77" s="127"/>
      <c r="K77" s="127"/>
      <c r="L77" s="129"/>
      <c r="M77" s="128">
        <v>14</v>
      </c>
      <c r="N77" s="127">
        <v>26</v>
      </c>
      <c r="O77" s="127" t="s">
        <v>259</v>
      </c>
      <c r="P77" s="130">
        <v>16</v>
      </c>
      <c r="Q77" s="127" t="s">
        <v>65</v>
      </c>
      <c r="R77" s="131" t="s">
        <v>64</v>
      </c>
      <c r="S77" s="132" t="s">
        <v>260</v>
      </c>
      <c r="T77" s="45"/>
      <c r="U77" s="13"/>
    </row>
    <row r="78" spans="1:20" ht="12.75">
      <c r="A78" s="43"/>
      <c r="B78" s="10" t="str">
        <f t="shared" si="0"/>
        <v>Verbena: Quartz Waterfall Mix</v>
      </c>
      <c r="C78" s="151" t="s">
        <v>44</v>
      </c>
      <c r="D78" s="152" t="s">
        <v>91</v>
      </c>
      <c r="E78" s="153" t="s">
        <v>68</v>
      </c>
      <c r="F78" s="154">
        <v>5.1</v>
      </c>
      <c r="G78" s="154">
        <v>24.2</v>
      </c>
      <c r="H78" s="154"/>
      <c r="I78" s="155">
        <v>5.1</v>
      </c>
      <c r="J78" s="154">
        <v>24.2</v>
      </c>
      <c r="K78" s="154">
        <v>31</v>
      </c>
      <c r="L78" s="156">
        <v>0.0227</v>
      </c>
      <c r="M78" s="155">
        <v>5</v>
      </c>
      <c r="N78" s="154">
        <v>30</v>
      </c>
      <c r="O78" s="154">
        <v>10</v>
      </c>
      <c r="P78" s="157">
        <v>16</v>
      </c>
      <c r="Q78" s="154" t="s">
        <v>69</v>
      </c>
      <c r="R78" s="158" t="s">
        <v>64</v>
      </c>
      <c r="S78" s="159" t="s">
        <v>228</v>
      </c>
      <c r="T78" s="47"/>
    </row>
    <row r="79" spans="1:20" ht="12.75">
      <c r="A79" s="43"/>
      <c r="B79" s="10" t="str">
        <f t="shared" si="0"/>
        <v>Verbena: Superbena Burgundy</v>
      </c>
      <c r="C79" s="124" t="s">
        <v>44</v>
      </c>
      <c r="D79" s="125" t="s">
        <v>158</v>
      </c>
      <c r="E79" s="126" t="s">
        <v>62</v>
      </c>
      <c r="F79" s="127">
        <v>4.969527797162128</v>
      </c>
      <c r="G79" s="127"/>
      <c r="H79" s="127"/>
      <c r="I79" s="128"/>
      <c r="J79" s="127"/>
      <c r="K79" s="127"/>
      <c r="L79" s="129"/>
      <c r="M79" s="128">
        <v>12</v>
      </c>
      <c r="N79" s="127">
        <v>28</v>
      </c>
      <c r="O79" s="127">
        <v>17.82</v>
      </c>
      <c r="P79" s="130">
        <v>18</v>
      </c>
      <c r="Q79" s="127" t="s">
        <v>69</v>
      </c>
      <c r="R79" s="131" t="s">
        <v>62</v>
      </c>
      <c r="S79" s="132" t="s">
        <v>160</v>
      </c>
      <c r="T79" s="47"/>
    </row>
    <row r="80" spans="1:20" ht="12.75">
      <c r="A80" s="43"/>
      <c r="B80" s="10" t="str">
        <f t="shared" si="0"/>
        <v>Vinca: Viper Grape</v>
      </c>
      <c r="C80" s="151" t="s">
        <v>24</v>
      </c>
      <c r="D80" s="152" t="s">
        <v>96</v>
      </c>
      <c r="E80" s="153" t="s">
        <v>62</v>
      </c>
      <c r="F80" s="154">
        <v>11.4</v>
      </c>
      <c r="G80" s="154"/>
      <c r="H80" s="154"/>
      <c r="I80" s="155"/>
      <c r="J80" s="154"/>
      <c r="K80" s="154"/>
      <c r="L80" s="156"/>
      <c r="M80" s="155">
        <v>17.2</v>
      </c>
      <c r="N80" s="154">
        <v>25.9</v>
      </c>
      <c r="O80" s="154" t="s">
        <v>101</v>
      </c>
      <c r="P80" s="157">
        <v>16</v>
      </c>
      <c r="Q80" s="154" t="s">
        <v>65</v>
      </c>
      <c r="R80" s="158" t="s">
        <v>64</v>
      </c>
      <c r="S80" s="159" t="s">
        <v>63</v>
      </c>
      <c r="T80" s="47"/>
    </row>
    <row r="81" spans="1:20" ht="12.75">
      <c r="A81" s="43"/>
      <c r="B81" s="10" t="str">
        <f t="shared" si="0"/>
        <v>Viola: Sorbet Plum Velvet</v>
      </c>
      <c r="C81" s="124" t="s">
        <v>9</v>
      </c>
      <c r="D81" s="125" t="s">
        <v>92</v>
      </c>
      <c r="E81" s="126" t="s">
        <v>68</v>
      </c>
      <c r="F81" s="127">
        <v>4.1</v>
      </c>
      <c r="G81" s="127">
        <v>26.4</v>
      </c>
      <c r="H81" s="127"/>
      <c r="I81" s="128">
        <v>4.1</v>
      </c>
      <c r="J81" s="127">
        <v>26.4</v>
      </c>
      <c r="K81" s="127">
        <v>35</v>
      </c>
      <c r="L81" s="129">
        <v>0.0831</v>
      </c>
      <c r="M81" s="128">
        <v>5</v>
      </c>
      <c r="N81" s="127">
        <v>30</v>
      </c>
      <c r="O81" s="127">
        <v>10</v>
      </c>
      <c r="P81" s="130">
        <v>16</v>
      </c>
      <c r="Q81" s="127" t="s">
        <v>69</v>
      </c>
      <c r="R81" s="131" t="s">
        <v>64</v>
      </c>
      <c r="S81" s="132" t="s">
        <v>228</v>
      </c>
      <c r="T81" s="47"/>
    </row>
    <row r="82" spans="1:20" ht="12.75">
      <c r="A82" s="43"/>
      <c r="B82" s="10" t="str">
        <f t="shared" si="0"/>
        <v>Zinnia: Dreamland Coral</v>
      </c>
      <c r="C82" s="151" t="s">
        <v>93</v>
      </c>
      <c r="D82" s="152" t="s">
        <v>94</v>
      </c>
      <c r="E82" s="153" t="s">
        <v>68</v>
      </c>
      <c r="F82" s="154">
        <v>7.9</v>
      </c>
      <c r="G82" s="154"/>
      <c r="H82" s="154"/>
      <c r="I82" s="155"/>
      <c r="J82" s="154"/>
      <c r="K82" s="154"/>
      <c r="L82" s="156"/>
      <c r="M82" s="155">
        <v>5</v>
      </c>
      <c r="N82" s="154">
        <v>30</v>
      </c>
      <c r="O82" s="154">
        <v>10</v>
      </c>
      <c r="P82" s="157">
        <v>16</v>
      </c>
      <c r="Q82" s="154" t="s">
        <v>69</v>
      </c>
      <c r="R82" s="158" t="s">
        <v>64</v>
      </c>
      <c r="S82" s="159" t="s">
        <v>228</v>
      </c>
      <c r="T82" s="47"/>
    </row>
    <row r="83" spans="1:20" ht="12.75">
      <c r="A83" s="43"/>
      <c r="B83" s="10">
        <f t="shared" si="0"/>
      </c>
      <c r="C83" s="124"/>
      <c r="D83" s="125"/>
      <c r="E83" s="126"/>
      <c r="F83" s="127"/>
      <c r="G83" s="127"/>
      <c r="H83" s="127"/>
      <c r="I83" s="128"/>
      <c r="J83" s="127"/>
      <c r="K83" s="127"/>
      <c r="L83" s="129"/>
      <c r="M83" s="128"/>
      <c r="N83" s="127"/>
      <c r="O83" s="127"/>
      <c r="P83" s="130"/>
      <c r="Q83" s="127"/>
      <c r="R83" s="131"/>
      <c r="S83" s="132"/>
      <c r="T83" s="47"/>
    </row>
    <row r="84" spans="1:20" ht="12.75">
      <c r="A84" s="43"/>
      <c r="B84" s="10">
        <f t="shared" si="0"/>
      </c>
      <c r="C84" s="124"/>
      <c r="D84" s="125"/>
      <c r="E84" s="126"/>
      <c r="F84" s="127"/>
      <c r="G84" s="127"/>
      <c r="H84" s="127"/>
      <c r="I84" s="128"/>
      <c r="J84" s="127"/>
      <c r="K84" s="127"/>
      <c r="L84" s="129"/>
      <c r="M84" s="128"/>
      <c r="N84" s="127"/>
      <c r="O84" s="127"/>
      <c r="P84" s="130"/>
      <c r="Q84" s="127"/>
      <c r="R84" s="131"/>
      <c r="S84" s="132"/>
      <c r="T84" s="47"/>
    </row>
    <row r="85" spans="1:20" ht="12.75">
      <c r="A85" s="43"/>
      <c r="B85" s="10">
        <f aca="true" t="shared" si="1" ref="B85:B120">IF(C85&lt;&gt;"",IF(D85&lt;&gt;"",CONCATENATE(C85,": ",D85),C85),"")</f>
      </c>
      <c r="C85" s="124"/>
      <c r="D85" s="125"/>
      <c r="E85" s="126"/>
      <c r="F85" s="127"/>
      <c r="G85" s="127"/>
      <c r="H85" s="127"/>
      <c r="I85" s="128"/>
      <c r="J85" s="127"/>
      <c r="K85" s="127"/>
      <c r="L85" s="129"/>
      <c r="M85" s="128"/>
      <c r="N85" s="127"/>
      <c r="O85" s="127"/>
      <c r="P85" s="130"/>
      <c r="Q85" s="127"/>
      <c r="R85" s="131"/>
      <c r="S85" s="132"/>
      <c r="T85" s="47"/>
    </row>
    <row r="86" spans="1:20" ht="12.75">
      <c r="A86" s="43"/>
      <c r="B86" s="10">
        <f t="shared" si="1"/>
      </c>
      <c r="C86" s="124"/>
      <c r="D86" s="125"/>
      <c r="E86" s="126"/>
      <c r="F86" s="127"/>
      <c r="G86" s="127"/>
      <c r="H86" s="127"/>
      <c r="I86" s="128"/>
      <c r="J86" s="127"/>
      <c r="K86" s="127"/>
      <c r="L86" s="129"/>
      <c r="M86" s="128"/>
      <c r="N86" s="127"/>
      <c r="O86" s="127"/>
      <c r="P86" s="130"/>
      <c r="Q86" s="127"/>
      <c r="R86" s="131"/>
      <c r="S86" s="132"/>
      <c r="T86" s="47"/>
    </row>
    <row r="87" spans="1:20" ht="12.75">
      <c r="A87" s="43"/>
      <c r="B87" s="10">
        <f t="shared" si="1"/>
      </c>
      <c r="C87" s="124"/>
      <c r="D87" s="125"/>
      <c r="E87" s="126"/>
      <c r="F87" s="127"/>
      <c r="G87" s="127"/>
      <c r="H87" s="127"/>
      <c r="I87" s="128"/>
      <c r="J87" s="127"/>
      <c r="K87" s="127"/>
      <c r="L87" s="129"/>
      <c r="M87" s="128"/>
      <c r="N87" s="127"/>
      <c r="O87" s="127"/>
      <c r="P87" s="130"/>
      <c r="Q87" s="127"/>
      <c r="R87" s="131"/>
      <c r="S87" s="132"/>
      <c r="T87" s="47"/>
    </row>
    <row r="88" spans="1:20" ht="12.75">
      <c r="A88" s="43"/>
      <c r="B88" s="10">
        <f t="shared" si="1"/>
      </c>
      <c r="C88" s="124"/>
      <c r="D88" s="125"/>
      <c r="E88" s="126"/>
      <c r="F88" s="127"/>
      <c r="G88" s="127"/>
      <c r="H88" s="127"/>
      <c r="I88" s="128"/>
      <c r="J88" s="127"/>
      <c r="K88" s="127"/>
      <c r="L88" s="129"/>
      <c r="M88" s="128"/>
      <c r="N88" s="127"/>
      <c r="O88" s="127"/>
      <c r="P88" s="130"/>
      <c r="Q88" s="127"/>
      <c r="R88" s="131"/>
      <c r="S88" s="132"/>
      <c r="T88" s="47"/>
    </row>
    <row r="89" spans="1:20" ht="12.75">
      <c r="A89" s="43"/>
      <c r="B89" s="10">
        <f t="shared" si="1"/>
      </c>
      <c r="C89" s="124"/>
      <c r="D89" s="125"/>
      <c r="E89" s="126"/>
      <c r="F89" s="127"/>
      <c r="G89" s="127"/>
      <c r="H89" s="127"/>
      <c r="I89" s="128"/>
      <c r="J89" s="127"/>
      <c r="K89" s="127"/>
      <c r="L89" s="129"/>
      <c r="M89" s="128"/>
      <c r="N89" s="127"/>
      <c r="O89" s="127"/>
      <c r="P89" s="130"/>
      <c r="Q89" s="127"/>
      <c r="R89" s="131"/>
      <c r="S89" s="132"/>
      <c r="T89" s="47"/>
    </row>
    <row r="90" spans="1:20" ht="12.75">
      <c r="A90" s="43"/>
      <c r="B90" s="10">
        <f t="shared" si="1"/>
      </c>
      <c r="C90" s="124"/>
      <c r="D90" s="125"/>
      <c r="E90" s="126"/>
      <c r="F90" s="127"/>
      <c r="G90" s="127"/>
      <c r="H90" s="127"/>
      <c r="I90" s="128"/>
      <c r="J90" s="127"/>
      <c r="K90" s="127"/>
      <c r="L90" s="129"/>
      <c r="M90" s="128"/>
      <c r="N90" s="127"/>
      <c r="O90" s="127"/>
      <c r="P90" s="130"/>
      <c r="Q90" s="127"/>
      <c r="R90" s="131"/>
      <c r="S90" s="132"/>
      <c r="T90" s="47"/>
    </row>
    <row r="91" spans="1:20" ht="12.75">
      <c r="A91" s="43"/>
      <c r="B91" s="10">
        <f t="shared" si="1"/>
      </c>
      <c r="C91" s="124"/>
      <c r="D91" s="125"/>
      <c r="E91" s="126"/>
      <c r="F91" s="127"/>
      <c r="G91" s="127"/>
      <c r="H91" s="127"/>
      <c r="I91" s="128"/>
      <c r="J91" s="127"/>
      <c r="K91" s="127"/>
      <c r="L91" s="129"/>
      <c r="M91" s="128"/>
      <c r="N91" s="127"/>
      <c r="O91" s="127"/>
      <c r="P91" s="130"/>
      <c r="Q91" s="127"/>
      <c r="R91" s="131"/>
      <c r="S91" s="132"/>
      <c r="T91" s="47"/>
    </row>
    <row r="92" spans="1:20" ht="12.75">
      <c r="A92" s="43"/>
      <c r="B92" s="10">
        <f t="shared" si="1"/>
      </c>
      <c r="C92" s="124"/>
      <c r="D92" s="125"/>
      <c r="E92" s="126"/>
      <c r="F92" s="127"/>
      <c r="G92" s="127"/>
      <c r="H92" s="127"/>
      <c r="I92" s="128"/>
      <c r="J92" s="127"/>
      <c r="K92" s="127"/>
      <c r="L92" s="129"/>
      <c r="M92" s="128"/>
      <c r="N92" s="127"/>
      <c r="O92" s="127"/>
      <c r="P92" s="130"/>
      <c r="Q92" s="127"/>
      <c r="R92" s="131"/>
      <c r="S92" s="132"/>
      <c r="T92" s="47"/>
    </row>
    <row r="93" spans="1:20" ht="12.75">
      <c r="A93" s="43"/>
      <c r="B93" s="10">
        <f t="shared" si="1"/>
      </c>
      <c r="C93" s="124"/>
      <c r="D93" s="125"/>
      <c r="E93" s="126"/>
      <c r="F93" s="127"/>
      <c r="G93" s="127"/>
      <c r="H93" s="127"/>
      <c r="I93" s="128"/>
      <c r="J93" s="127"/>
      <c r="K93" s="127"/>
      <c r="L93" s="129"/>
      <c r="M93" s="128"/>
      <c r="N93" s="127"/>
      <c r="O93" s="127"/>
      <c r="P93" s="130"/>
      <c r="Q93" s="127"/>
      <c r="R93" s="131"/>
      <c r="S93" s="132"/>
      <c r="T93" s="47"/>
    </row>
    <row r="94" spans="1:19" ht="12.75">
      <c r="A94" s="43"/>
      <c r="B94" s="10">
        <f t="shared" si="1"/>
      </c>
      <c r="C94" s="124"/>
      <c r="D94" s="125"/>
      <c r="E94" s="126"/>
      <c r="F94" s="127"/>
      <c r="G94" s="127"/>
      <c r="H94" s="127"/>
      <c r="I94" s="128"/>
      <c r="J94" s="127"/>
      <c r="K94" s="127"/>
      <c r="L94" s="129"/>
      <c r="M94" s="128"/>
      <c r="N94" s="127"/>
      <c r="O94" s="127"/>
      <c r="P94" s="130"/>
      <c r="Q94" s="127"/>
      <c r="R94" s="131"/>
      <c r="S94" s="132"/>
    </row>
    <row r="95" spans="1:19" ht="12.75">
      <c r="A95" s="43"/>
      <c r="B95" s="10">
        <f t="shared" si="1"/>
      </c>
      <c r="C95" s="124"/>
      <c r="D95" s="125"/>
      <c r="E95" s="126"/>
      <c r="F95" s="127"/>
      <c r="G95" s="127"/>
      <c r="H95" s="127"/>
      <c r="I95" s="128"/>
      <c r="J95" s="127"/>
      <c r="K95" s="127"/>
      <c r="L95" s="129"/>
      <c r="M95" s="128"/>
      <c r="N95" s="127"/>
      <c r="O95" s="127"/>
      <c r="P95" s="130"/>
      <c r="Q95" s="127"/>
      <c r="R95" s="131"/>
      <c r="S95" s="132"/>
    </row>
    <row r="96" spans="1:19" ht="12.75">
      <c r="A96" s="43"/>
      <c r="B96" s="10">
        <f t="shared" si="1"/>
      </c>
      <c r="C96" s="124"/>
      <c r="D96" s="125"/>
      <c r="E96" s="126"/>
      <c r="F96" s="127"/>
      <c r="G96" s="127"/>
      <c r="H96" s="127"/>
      <c r="I96" s="128"/>
      <c r="J96" s="127"/>
      <c r="K96" s="127"/>
      <c r="L96" s="129"/>
      <c r="M96" s="128"/>
      <c r="N96" s="127"/>
      <c r="O96" s="127"/>
      <c r="P96" s="130"/>
      <c r="Q96" s="127"/>
      <c r="R96" s="131"/>
      <c r="S96" s="132"/>
    </row>
    <row r="97" spans="1:19" ht="12.75">
      <c r="A97" s="43"/>
      <c r="B97" s="10">
        <f t="shared" si="1"/>
      </c>
      <c r="C97" s="124"/>
      <c r="D97" s="125"/>
      <c r="E97" s="126"/>
      <c r="F97" s="127"/>
      <c r="G97" s="127"/>
      <c r="H97" s="127"/>
      <c r="I97" s="128"/>
      <c r="J97" s="127"/>
      <c r="K97" s="127"/>
      <c r="L97" s="129"/>
      <c r="M97" s="128"/>
      <c r="N97" s="127"/>
      <c r="O97" s="127"/>
      <c r="P97" s="130"/>
      <c r="Q97" s="127"/>
      <c r="R97" s="131"/>
      <c r="S97" s="132"/>
    </row>
    <row r="98" spans="1:19" ht="12.75">
      <c r="A98" s="43"/>
      <c r="B98" s="10">
        <f t="shared" si="1"/>
      </c>
      <c r="C98" s="124"/>
      <c r="D98" s="125"/>
      <c r="E98" s="126"/>
      <c r="F98" s="127"/>
      <c r="G98" s="127"/>
      <c r="H98" s="127"/>
      <c r="I98" s="128"/>
      <c r="J98" s="127"/>
      <c r="K98" s="127"/>
      <c r="L98" s="129"/>
      <c r="M98" s="128"/>
      <c r="N98" s="127"/>
      <c r="O98" s="127"/>
      <c r="P98" s="130"/>
      <c r="Q98" s="127"/>
      <c r="R98" s="131"/>
      <c r="S98" s="132"/>
    </row>
    <row r="99" spans="1:19" ht="12.75">
      <c r="A99" s="43"/>
      <c r="B99" s="10">
        <f t="shared" si="1"/>
      </c>
      <c r="C99" s="124"/>
      <c r="D99" s="125"/>
      <c r="E99" s="126"/>
      <c r="F99" s="127"/>
      <c r="G99" s="127"/>
      <c r="H99" s="127"/>
      <c r="I99" s="128"/>
      <c r="J99" s="127"/>
      <c r="K99" s="127"/>
      <c r="L99" s="129"/>
      <c r="M99" s="128"/>
      <c r="N99" s="127"/>
      <c r="O99" s="127"/>
      <c r="P99" s="130"/>
      <c r="Q99" s="127"/>
      <c r="R99" s="131"/>
      <c r="S99" s="132"/>
    </row>
    <row r="100" spans="1:19" ht="12.75">
      <c r="A100" s="43"/>
      <c r="B100" s="10">
        <f t="shared" si="1"/>
      </c>
      <c r="C100" s="124"/>
      <c r="D100" s="125"/>
      <c r="E100" s="126"/>
      <c r="F100" s="127"/>
      <c r="G100" s="127"/>
      <c r="H100" s="127"/>
      <c r="I100" s="128"/>
      <c r="J100" s="127"/>
      <c r="K100" s="127"/>
      <c r="L100" s="129"/>
      <c r="M100" s="128"/>
      <c r="N100" s="127"/>
      <c r="O100" s="127"/>
      <c r="P100" s="130"/>
      <c r="Q100" s="127"/>
      <c r="R100" s="131"/>
      <c r="S100" s="132"/>
    </row>
    <row r="101" spans="1:19" ht="12.75">
      <c r="A101" s="43"/>
      <c r="B101" s="10">
        <f t="shared" si="1"/>
      </c>
      <c r="C101" s="124"/>
      <c r="D101" s="125"/>
      <c r="E101" s="126"/>
      <c r="F101" s="127"/>
      <c r="G101" s="127"/>
      <c r="H101" s="127"/>
      <c r="I101" s="128"/>
      <c r="J101" s="127"/>
      <c r="K101" s="127"/>
      <c r="L101" s="129"/>
      <c r="M101" s="128"/>
      <c r="N101" s="127"/>
      <c r="O101" s="127"/>
      <c r="P101" s="130"/>
      <c r="Q101" s="127"/>
      <c r="R101" s="131"/>
      <c r="S101" s="132"/>
    </row>
    <row r="102" spans="1:19" ht="12.75">
      <c r="A102" s="43"/>
      <c r="B102" s="10">
        <f t="shared" si="1"/>
      </c>
      <c r="C102" s="124"/>
      <c r="D102" s="125"/>
      <c r="E102" s="126"/>
      <c r="F102" s="127"/>
      <c r="G102" s="127"/>
      <c r="H102" s="127"/>
      <c r="I102" s="128"/>
      <c r="J102" s="127"/>
      <c r="K102" s="127"/>
      <c r="L102" s="129"/>
      <c r="M102" s="128"/>
      <c r="N102" s="127"/>
      <c r="O102" s="127"/>
      <c r="P102" s="130"/>
      <c r="Q102" s="127"/>
      <c r="R102" s="131"/>
      <c r="S102" s="132"/>
    </row>
    <row r="103" spans="1:19" ht="12.75">
      <c r="A103" s="43"/>
      <c r="B103" s="10">
        <f t="shared" si="1"/>
      </c>
      <c r="C103" s="124"/>
      <c r="D103" s="125"/>
      <c r="E103" s="126"/>
      <c r="F103" s="127"/>
      <c r="G103" s="127"/>
      <c r="H103" s="127"/>
      <c r="I103" s="128"/>
      <c r="J103" s="127"/>
      <c r="K103" s="127"/>
      <c r="L103" s="129"/>
      <c r="M103" s="128"/>
      <c r="N103" s="127"/>
      <c r="O103" s="127"/>
      <c r="P103" s="130"/>
      <c r="Q103" s="127"/>
      <c r="R103" s="131"/>
      <c r="S103" s="132"/>
    </row>
    <row r="104" spans="1:19" ht="12.75">
      <c r="A104" s="43"/>
      <c r="B104" s="10">
        <f t="shared" si="1"/>
      </c>
      <c r="C104" s="124"/>
      <c r="D104" s="125"/>
      <c r="E104" s="126"/>
      <c r="F104" s="127"/>
      <c r="G104" s="127"/>
      <c r="H104" s="127"/>
      <c r="I104" s="128"/>
      <c r="J104" s="127"/>
      <c r="K104" s="127"/>
      <c r="L104" s="129"/>
      <c r="M104" s="128"/>
      <c r="N104" s="127"/>
      <c r="O104" s="127"/>
      <c r="P104" s="130"/>
      <c r="Q104" s="127"/>
      <c r="R104" s="131"/>
      <c r="S104" s="132"/>
    </row>
    <row r="105" spans="1:19" ht="12.75">
      <c r="A105" s="43"/>
      <c r="B105" s="10">
        <f t="shared" si="1"/>
      </c>
      <c r="C105" s="124"/>
      <c r="D105" s="125"/>
      <c r="E105" s="126"/>
      <c r="F105" s="127"/>
      <c r="G105" s="127"/>
      <c r="H105" s="127"/>
      <c r="I105" s="128"/>
      <c r="J105" s="127"/>
      <c r="K105" s="127"/>
      <c r="L105" s="129"/>
      <c r="M105" s="128"/>
      <c r="N105" s="127"/>
      <c r="O105" s="127"/>
      <c r="P105" s="130"/>
      <c r="Q105" s="127"/>
      <c r="R105" s="131"/>
      <c r="S105" s="132"/>
    </row>
    <row r="106" spans="1:19" ht="12.75">
      <c r="A106" s="43"/>
      <c r="B106" s="10">
        <f t="shared" si="1"/>
      </c>
      <c r="C106" s="124"/>
      <c r="D106" s="125"/>
      <c r="E106" s="126"/>
      <c r="F106" s="127"/>
      <c r="G106" s="127"/>
      <c r="H106" s="127"/>
      <c r="I106" s="128"/>
      <c r="J106" s="127"/>
      <c r="K106" s="127"/>
      <c r="L106" s="129"/>
      <c r="M106" s="128"/>
      <c r="N106" s="127"/>
      <c r="O106" s="127"/>
      <c r="P106" s="130"/>
      <c r="Q106" s="127"/>
      <c r="R106" s="131"/>
      <c r="S106" s="132"/>
    </row>
    <row r="107" spans="1:19" ht="12.75">
      <c r="A107" s="43"/>
      <c r="B107" s="10">
        <f t="shared" si="1"/>
      </c>
      <c r="C107" s="124"/>
      <c r="D107" s="125"/>
      <c r="E107" s="126"/>
      <c r="F107" s="127"/>
      <c r="G107" s="127"/>
      <c r="H107" s="127"/>
      <c r="I107" s="128"/>
      <c r="J107" s="127"/>
      <c r="K107" s="127"/>
      <c r="L107" s="129"/>
      <c r="M107" s="128"/>
      <c r="N107" s="127"/>
      <c r="O107" s="127"/>
      <c r="P107" s="130"/>
      <c r="Q107" s="127"/>
      <c r="R107" s="131"/>
      <c r="S107" s="132"/>
    </row>
    <row r="108" spans="1:19" ht="12.75">
      <c r="A108" s="43"/>
      <c r="B108" s="10">
        <f t="shared" si="1"/>
      </c>
      <c r="C108" s="124"/>
      <c r="D108" s="125"/>
      <c r="E108" s="126"/>
      <c r="F108" s="127"/>
      <c r="G108" s="127"/>
      <c r="H108" s="127"/>
      <c r="I108" s="128"/>
      <c r="J108" s="127"/>
      <c r="K108" s="127"/>
      <c r="L108" s="129"/>
      <c r="M108" s="128"/>
      <c r="N108" s="127"/>
      <c r="O108" s="127"/>
      <c r="P108" s="130"/>
      <c r="Q108" s="127"/>
      <c r="R108" s="131"/>
      <c r="S108" s="132"/>
    </row>
    <row r="109" spans="1:19" ht="12.75">
      <c r="A109" s="43"/>
      <c r="B109" s="10">
        <f t="shared" si="1"/>
      </c>
      <c r="C109" s="124"/>
      <c r="D109" s="125"/>
      <c r="E109" s="126"/>
      <c r="F109" s="127"/>
      <c r="G109" s="127"/>
      <c r="H109" s="127"/>
      <c r="I109" s="128"/>
      <c r="J109" s="127"/>
      <c r="K109" s="127"/>
      <c r="L109" s="129"/>
      <c r="M109" s="128"/>
      <c r="N109" s="127"/>
      <c r="O109" s="127"/>
      <c r="P109" s="130"/>
      <c r="Q109" s="127"/>
      <c r="R109" s="131"/>
      <c r="S109" s="132"/>
    </row>
    <row r="110" spans="1:19" ht="12.75">
      <c r="A110" s="43"/>
      <c r="B110" s="10">
        <f t="shared" si="1"/>
      </c>
      <c r="C110" s="124"/>
      <c r="D110" s="125"/>
      <c r="E110" s="126"/>
      <c r="F110" s="127"/>
      <c r="G110" s="127"/>
      <c r="H110" s="127"/>
      <c r="I110" s="128"/>
      <c r="J110" s="127"/>
      <c r="K110" s="127"/>
      <c r="L110" s="129"/>
      <c r="M110" s="128"/>
      <c r="N110" s="127"/>
      <c r="O110" s="127"/>
      <c r="P110" s="130"/>
      <c r="Q110" s="127"/>
      <c r="R110" s="131"/>
      <c r="S110" s="132"/>
    </row>
    <row r="111" spans="1:19" ht="12.75">
      <c r="A111" s="43"/>
      <c r="B111" s="10">
        <f t="shared" si="1"/>
      </c>
      <c r="C111" s="124"/>
      <c r="D111" s="125"/>
      <c r="E111" s="126"/>
      <c r="F111" s="127"/>
      <c r="G111" s="127"/>
      <c r="H111" s="127"/>
      <c r="I111" s="128"/>
      <c r="J111" s="127"/>
      <c r="K111" s="127"/>
      <c r="L111" s="129"/>
      <c r="M111" s="128"/>
      <c r="N111" s="127"/>
      <c r="O111" s="127"/>
      <c r="P111" s="130"/>
      <c r="Q111" s="127"/>
      <c r="R111" s="131"/>
      <c r="S111" s="132"/>
    </row>
    <row r="112" spans="1:19" ht="12.75">
      <c r="A112" s="43"/>
      <c r="B112" s="10">
        <f t="shared" si="1"/>
      </c>
      <c r="C112" s="124"/>
      <c r="D112" s="125"/>
      <c r="E112" s="126"/>
      <c r="F112" s="127"/>
      <c r="G112" s="127"/>
      <c r="H112" s="127"/>
      <c r="I112" s="128"/>
      <c r="J112" s="127"/>
      <c r="K112" s="127"/>
      <c r="L112" s="129"/>
      <c r="M112" s="128"/>
      <c r="N112" s="127"/>
      <c r="O112" s="127"/>
      <c r="P112" s="130"/>
      <c r="Q112" s="127"/>
      <c r="R112" s="131"/>
      <c r="S112" s="132"/>
    </row>
    <row r="113" spans="1:19" ht="12.75">
      <c r="A113" s="43"/>
      <c r="B113" s="10">
        <f t="shared" si="1"/>
      </c>
      <c r="C113" s="124"/>
      <c r="D113" s="125"/>
      <c r="E113" s="126"/>
      <c r="F113" s="127"/>
      <c r="G113" s="127"/>
      <c r="H113" s="127"/>
      <c r="I113" s="128"/>
      <c r="J113" s="127"/>
      <c r="K113" s="127"/>
      <c r="L113" s="129"/>
      <c r="M113" s="128"/>
      <c r="N113" s="127"/>
      <c r="O113" s="127"/>
      <c r="P113" s="130"/>
      <c r="Q113" s="127"/>
      <c r="R113" s="131"/>
      <c r="S113" s="132"/>
    </row>
    <row r="114" spans="1:19" ht="12.75">
      <c r="A114" s="43"/>
      <c r="B114" s="10">
        <f t="shared" si="1"/>
      </c>
      <c r="C114" s="124"/>
      <c r="D114" s="125"/>
      <c r="E114" s="126"/>
      <c r="F114" s="127"/>
      <c r="G114" s="127"/>
      <c r="H114" s="127"/>
      <c r="I114" s="128"/>
      <c r="J114" s="127"/>
      <c r="K114" s="127"/>
      <c r="L114" s="129"/>
      <c r="M114" s="128"/>
      <c r="N114" s="127"/>
      <c r="O114" s="127"/>
      <c r="P114" s="130"/>
      <c r="Q114" s="127"/>
      <c r="R114" s="131"/>
      <c r="S114" s="132"/>
    </row>
    <row r="115" spans="1:19" ht="12.75">
      <c r="A115" s="43"/>
      <c r="B115" s="10">
        <f t="shared" si="1"/>
      </c>
      <c r="C115" s="124"/>
      <c r="D115" s="125"/>
      <c r="E115" s="126"/>
      <c r="F115" s="127"/>
      <c r="G115" s="127"/>
      <c r="H115" s="127"/>
      <c r="I115" s="128"/>
      <c r="J115" s="127"/>
      <c r="K115" s="127"/>
      <c r="L115" s="129"/>
      <c r="M115" s="128"/>
      <c r="N115" s="127"/>
      <c r="O115" s="127"/>
      <c r="P115" s="130"/>
      <c r="Q115" s="127"/>
      <c r="R115" s="131"/>
      <c r="S115" s="132"/>
    </row>
    <row r="116" spans="1:19" ht="12.75">
      <c r="A116" s="43"/>
      <c r="B116" s="10">
        <f t="shared" si="1"/>
      </c>
      <c r="C116" s="124"/>
      <c r="D116" s="125"/>
      <c r="E116" s="126"/>
      <c r="F116" s="127"/>
      <c r="G116" s="127"/>
      <c r="H116" s="127"/>
      <c r="I116" s="128"/>
      <c r="J116" s="127"/>
      <c r="K116" s="127"/>
      <c r="L116" s="129"/>
      <c r="M116" s="128"/>
      <c r="N116" s="127"/>
      <c r="O116" s="127"/>
      <c r="P116" s="130"/>
      <c r="Q116" s="127"/>
      <c r="R116" s="131"/>
      <c r="S116" s="132"/>
    </row>
    <row r="117" spans="1:19" ht="12.75">
      <c r="A117" s="43"/>
      <c r="B117" s="10">
        <f t="shared" si="1"/>
      </c>
      <c r="C117" s="124"/>
      <c r="D117" s="125"/>
      <c r="E117" s="126"/>
      <c r="F117" s="127"/>
      <c r="G117" s="127"/>
      <c r="H117" s="127"/>
      <c r="I117" s="128"/>
      <c r="J117" s="127"/>
      <c r="K117" s="127"/>
      <c r="L117" s="129"/>
      <c r="M117" s="128"/>
      <c r="N117" s="127"/>
      <c r="O117" s="127"/>
      <c r="P117" s="130"/>
      <c r="Q117" s="127"/>
      <c r="R117" s="131"/>
      <c r="S117" s="132"/>
    </row>
    <row r="118" spans="1:19" ht="12.75">
      <c r="A118" s="43"/>
      <c r="B118" s="10">
        <f t="shared" si="1"/>
      </c>
      <c r="C118" s="124"/>
      <c r="D118" s="125"/>
      <c r="E118" s="126"/>
      <c r="F118" s="127"/>
      <c r="G118" s="127"/>
      <c r="H118" s="127"/>
      <c r="I118" s="128"/>
      <c r="J118" s="127"/>
      <c r="K118" s="127"/>
      <c r="L118" s="129"/>
      <c r="M118" s="128"/>
      <c r="N118" s="127"/>
      <c r="O118" s="127"/>
      <c r="P118" s="127"/>
      <c r="Q118" s="127"/>
      <c r="R118" s="131"/>
      <c r="S118" s="132"/>
    </row>
    <row r="119" spans="1:19" ht="12.75">
      <c r="A119" s="43"/>
      <c r="B119" s="10">
        <f t="shared" si="1"/>
      </c>
      <c r="C119" s="124"/>
      <c r="D119" s="125"/>
      <c r="E119" s="133"/>
      <c r="F119" s="127"/>
      <c r="G119" s="127"/>
      <c r="H119" s="127"/>
      <c r="I119" s="128"/>
      <c r="J119" s="127"/>
      <c r="K119" s="127"/>
      <c r="L119" s="129"/>
      <c r="M119" s="128"/>
      <c r="N119" s="127"/>
      <c r="O119" s="127"/>
      <c r="P119" s="127"/>
      <c r="Q119" s="127"/>
      <c r="R119" s="131"/>
      <c r="S119" s="132"/>
    </row>
    <row r="120" spans="1:19" ht="12.75">
      <c r="A120" s="43"/>
      <c r="B120" s="10">
        <f t="shared" si="1"/>
      </c>
      <c r="C120" s="134"/>
      <c r="D120" s="135"/>
      <c r="E120" s="136"/>
      <c r="F120" s="137"/>
      <c r="G120" s="137"/>
      <c r="H120" s="137"/>
      <c r="I120" s="138"/>
      <c r="J120" s="137"/>
      <c r="K120" s="137"/>
      <c r="L120" s="139"/>
      <c r="M120" s="138"/>
      <c r="N120" s="137"/>
      <c r="O120" s="137"/>
      <c r="P120" s="137"/>
      <c r="Q120" s="137"/>
      <c r="R120" s="140"/>
      <c r="S120" s="141"/>
    </row>
    <row r="121" spans="1:20" ht="12.75">
      <c r="A121" s="43"/>
      <c r="B121" s="10"/>
      <c r="C121" s="71"/>
      <c r="D121" s="71"/>
      <c r="E121" s="71"/>
      <c r="F121" s="45"/>
      <c r="G121" s="45"/>
      <c r="H121" s="45"/>
      <c r="I121" s="45"/>
      <c r="J121" s="45"/>
      <c r="K121" s="45"/>
      <c r="L121" s="72"/>
      <c r="M121" s="45"/>
      <c r="N121" s="45"/>
      <c r="O121" s="45"/>
      <c r="P121" s="45"/>
      <c r="Q121" s="45"/>
      <c r="R121" s="45"/>
      <c r="S121" s="73"/>
      <c r="T121" s="47"/>
    </row>
    <row r="122" spans="1:19" ht="12.75" customHeight="1">
      <c r="A122" s="43"/>
      <c r="B122" s="10"/>
      <c r="C122" s="79" t="s">
        <v>197</v>
      </c>
      <c r="D122" s="80"/>
      <c r="E122" s="80"/>
      <c r="F122" s="81"/>
      <c r="G122" s="81"/>
      <c r="H122" s="81"/>
      <c r="I122" s="81"/>
      <c r="J122" s="81"/>
      <c r="K122" s="81"/>
      <c r="L122" s="82"/>
      <c r="M122" s="81"/>
      <c r="N122" s="81"/>
      <c r="O122" s="81"/>
      <c r="P122" s="81"/>
      <c r="Q122" s="81"/>
      <c r="R122" s="81"/>
      <c r="S122" s="83"/>
    </row>
    <row r="123" spans="3:25" ht="12.75" customHeight="1">
      <c r="C123" s="84" t="s">
        <v>198</v>
      </c>
      <c r="D123" s="85" t="s">
        <v>199</v>
      </c>
      <c r="E123" s="86" t="s">
        <v>200</v>
      </c>
      <c r="F123" s="80"/>
      <c r="G123" s="80"/>
      <c r="H123" s="80"/>
      <c r="I123" s="80"/>
      <c r="J123" s="80"/>
      <c r="K123" s="80"/>
      <c r="L123" s="87"/>
      <c r="M123" s="80"/>
      <c r="N123" s="80"/>
      <c r="O123" s="80"/>
      <c r="P123" s="80"/>
      <c r="Q123" s="80"/>
      <c r="R123" s="80"/>
      <c r="S123" s="88"/>
      <c r="T123" s="11"/>
      <c r="U123" s="11"/>
      <c r="V123" s="11"/>
      <c r="W123" s="11"/>
      <c r="X123" s="11"/>
      <c r="Y123" s="11"/>
    </row>
    <row r="124" spans="3:25" ht="12.75">
      <c r="C124" s="61" t="s">
        <v>183</v>
      </c>
      <c r="D124" s="62" t="s">
        <v>224</v>
      </c>
      <c r="E124" s="69" t="s">
        <v>225</v>
      </c>
      <c r="F124" s="11"/>
      <c r="G124" s="11"/>
      <c r="H124" s="11"/>
      <c r="I124" s="11"/>
      <c r="J124" s="11"/>
      <c r="K124" s="11"/>
      <c r="L124" s="48"/>
      <c r="M124" s="11"/>
      <c r="N124" s="11"/>
      <c r="O124" s="11"/>
      <c r="P124" s="11"/>
      <c r="Q124" s="11"/>
      <c r="R124" s="11"/>
      <c r="S124" s="49"/>
      <c r="T124" s="11"/>
      <c r="U124" s="11"/>
      <c r="V124" s="11"/>
      <c r="W124" s="11"/>
      <c r="X124" s="11"/>
      <c r="Y124" s="11"/>
    </row>
    <row r="125" spans="3:25" ht="12.75">
      <c r="C125" s="61" t="s">
        <v>123</v>
      </c>
      <c r="D125" s="62" t="s">
        <v>226</v>
      </c>
      <c r="E125" s="69" t="s">
        <v>191</v>
      </c>
      <c r="F125" s="11"/>
      <c r="G125" s="11"/>
      <c r="H125" s="11"/>
      <c r="I125" s="11"/>
      <c r="J125" s="11"/>
      <c r="K125" s="11"/>
      <c r="L125" s="48"/>
      <c r="M125" s="11"/>
      <c r="N125" s="11"/>
      <c r="O125" s="11"/>
      <c r="P125" s="11"/>
      <c r="Q125" s="11"/>
      <c r="R125" s="11"/>
      <c r="S125" s="49"/>
      <c r="T125" s="11"/>
      <c r="U125" s="11"/>
      <c r="V125" s="11"/>
      <c r="W125" s="11"/>
      <c r="X125" s="11"/>
      <c r="Y125" s="11"/>
    </row>
    <row r="126" spans="3:25" ht="12.75">
      <c r="C126" s="61" t="s">
        <v>63</v>
      </c>
      <c r="D126" s="62" t="s">
        <v>227</v>
      </c>
      <c r="E126" s="69" t="s">
        <v>192</v>
      </c>
      <c r="F126" s="11"/>
      <c r="G126" s="11"/>
      <c r="H126" s="11"/>
      <c r="I126" s="11"/>
      <c r="J126" s="11"/>
      <c r="K126" s="11"/>
      <c r="L126" s="48"/>
      <c r="M126" s="11"/>
      <c r="N126" s="11"/>
      <c r="O126" s="11"/>
      <c r="P126" s="11"/>
      <c r="Q126" s="11"/>
      <c r="R126" s="11"/>
      <c r="S126" s="49"/>
      <c r="T126" s="11"/>
      <c r="U126" s="11"/>
      <c r="V126" s="11"/>
      <c r="W126" s="11"/>
      <c r="X126" s="11"/>
      <c r="Y126" s="11"/>
    </row>
    <row r="127" spans="3:25" ht="12.75">
      <c r="C127" s="61" t="s">
        <v>228</v>
      </c>
      <c r="D127" s="62" t="s">
        <v>229</v>
      </c>
      <c r="E127" s="69" t="s">
        <v>230</v>
      </c>
      <c r="F127" s="11"/>
      <c r="G127" s="11"/>
      <c r="H127" s="11"/>
      <c r="I127" s="11"/>
      <c r="J127" s="11"/>
      <c r="K127" s="11"/>
      <c r="L127" s="48"/>
      <c r="M127" s="11"/>
      <c r="N127" s="11"/>
      <c r="O127" s="11"/>
      <c r="P127" s="11"/>
      <c r="Q127" s="11"/>
      <c r="R127" s="11"/>
      <c r="S127" s="49"/>
      <c r="T127" s="11"/>
      <c r="U127" s="11"/>
      <c r="V127" s="11"/>
      <c r="W127" s="11"/>
      <c r="X127" s="11"/>
      <c r="Y127" s="11"/>
    </row>
    <row r="128" spans="3:25" ht="12.75">
      <c r="C128" s="61" t="s">
        <v>147</v>
      </c>
      <c r="D128" s="62" t="s">
        <v>231</v>
      </c>
      <c r="E128" s="69" t="s">
        <v>232</v>
      </c>
      <c r="F128" s="11"/>
      <c r="G128" s="11"/>
      <c r="H128" s="11"/>
      <c r="I128" s="11"/>
      <c r="J128" s="11"/>
      <c r="K128" s="11"/>
      <c r="L128" s="48"/>
      <c r="M128" s="11"/>
      <c r="N128" s="11"/>
      <c r="O128" s="11"/>
      <c r="P128" s="11"/>
      <c r="Q128" s="11"/>
      <c r="R128" s="11"/>
      <c r="S128" s="49"/>
      <c r="T128" s="11"/>
      <c r="U128" s="11"/>
      <c r="V128" s="11"/>
      <c r="W128" s="11"/>
      <c r="X128" s="11"/>
      <c r="Y128" s="11"/>
    </row>
    <row r="129" spans="3:25" ht="12.75">
      <c r="C129" s="61" t="s">
        <v>160</v>
      </c>
      <c r="D129" s="62" t="s">
        <v>233</v>
      </c>
      <c r="E129" s="69" t="s">
        <v>193</v>
      </c>
      <c r="F129" s="11"/>
      <c r="G129" s="11"/>
      <c r="H129" s="11"/>
      <c r="I129" s="11"/>
      <c r="J129" s="11"/>
      <c r="K129" s="11"/>
      <c r="L129" s="48"/>
      <c r="M129" s="11"/>
      <c r="N129" s="11"/>
      <c r="O129" s="11"/>
      <c r="P129" s="11"/>
      <c r="Q129" s="11"/>
      <c r="R129" s="11"/>
      <c r="S129" s="49"/>
      <c r="T129" s="11"/>
      <c r="U129" s="11"/>
      <c r="V129" s="11"/>
      <c r="W129" s="11"/>
      <c r="X129" s="11"/>
      <c r="Y129" s="11"/>
    </row>
    <row r="130" spans="3:25" ht="12.75">
      <c r="C130" s="61" t="s">
        <v>189</v>
      </c>
      <c r="D130" s="62" t="s">
        <v>234</v>
      </c>
      <c r="E130" s="69" t="s">
        <v>244</v>
      </c>
      <c r="F130" s="11"/>
      <c r="G130" s="11"/>
      <c r="H130" s="11"/>
      <c r="I130" s="11"/>
      <c r="J130" s="11"/>
      <c r="K130" s="11"/>
      <c r="L130" s="48"/>
      <c r="M130" s="11"/>
      <c r="N130" s="11"/>
      <c r="O130" s="11"/>
      <c r="P130" s="11"/>
      <c r="Q130" s="11"/>
      <c r="R130" s="11"/>
      <c r="S130" s="49"/>
      <c r="T130" s="11"/>
      <c r="U130" s="11"/>
      <c r="V130" s="11"/>
      <c r="W130" s="11"/>
      <c r="X130" s="11"/>
      <c r="Y130" s="11"/>
    </row>
    <row r="131" spans="3:25" ht="12.75">
      <c r="C131" s="61" t="s">
        <v>107</v>
      </c>
      <c r="D131" s="62" t="s">
        <v>235</v>
      </c>
      <c r="E131" s="69" t="s">
        <v>245</v>
      </c>
      <c r="F131" s="11"/>
      <c r="G131" s="11"/>
      <c r="H131" s="11"/>
      <c r="I131" s="11"/>
      <c r="J131" s="11"/>
      <c r="K131" s="11"/>
      <c r="L131" s="48"/>
      <c r="M131" s="11"/>
      <c r="N131" s="11"/>
      <c r="O131" s="11"/>
      <c r="P131" s="11"/>
      <c r="Q131" s="11"/>
      <c r="R131" s="11"/>
      <c r="S131" s="49"/>
      <c r="T131" s="11"/>
      <c r="U131" s="11"/>
      <c r="V131" s="11"/>
      <c r="W131" s="11"/>
      <c r="X131" s="11"/>
      <c r="Y131" s="11"/>
    </row>
    <row r="132" spans="3:25" ht="12.75">
      <c r="C132" s="61" t="s">
        <v>181</v>
      </c>
      <c r="D132" s="62" t="s">
        <v>236</v>
      </c>
      <c r="E132" s="69" t="s">
        <v>194</v>
      </c>
      <c r="F132" s="11"/>
      <c r="G132" s="11"/>
      <c r="H132" s="11"/>
      <c r="I132" s="11"/>
      <c r="J132" s="11"/>
      <c r="K132" s="11"/>
      <c r="L132" s="48"/>
      <c r="M132" s="11"/>
      <c r="N132" s="11"/>
      <c r="O132" s="11"/>
      <c r="P132" s="11"/>
      <c r="Q132" s="11"/>
      <c r="R132" s="11"/>
      <c r="S132" s="49"/>
      <c r="T132" s="11"/>
      <c r="U132" s="11"/>
      <c r="V132" s="11"/>
      <c r="W132" s="11"/>
      <c r="X132" s="11"/>
      <c r="Y132" s="11"/>
    </row>
    <row r="133" spans="3:25" ht="12.75">
      <c r="C133" s="61" t="s">
        <v>143</v>
      </c>
      <c r="D133" s="62" t="s">
        <v>237</v>
      </c>
      <c r="E133" s="69" t="s">
        <v>246</v>
      </c>
      <c r="F133" s="11"/>
      <c r="G133" s="11"/>
      <c r="H133" s="11"/>
      <c r="I133" s="11"/>
      <c r="J133" s="11"/>
      <c r="K133" s="11"/>
      <c r="L133" s="48"/>
      <c r="M133" s="11"/>
      <c r="N133" s="11"/>
      <c r="O133" s="11"/>
      <c r="P133" s="11"/>
      <c r="Q133" s="11"/>
      <c r="R133" s="11"/>
      <c r="S133" s="49"/>
      <c r="T133" s="11"/>
      <c r="U133" s="11"/>
      <c r="V133" s="11"/>
      <c r="W133" s="11"/>
      <c r="X133" s="11"/>
      <c r="Y133" s="11"/>
    </row>
    <row r="134" spans="3:25" ht="12.75">
      <c r="C134" s="61" t="s">
        <v>111</v>
      </c>
      <c r="D134" s="62" t="s">
        <v>238</v>
      </c>
      <c r="E134" s="69" t="s">
        <v>247</v>
      </c>
      <c r="F134" s="11"/>
      <c r="G134" s="11"/>
      <c r="H134" s="11"/>
      <c r="I134" s="11"/>
      <c r="J134" s="11"/>
      <c r="K134" s="11"/>
      <c r="L134" s="48"/>
      <c r="M134" s="11"/>
      <c r="N134" s="11"/>
      <c r="O134" s="11"/>
      <c r="P134" s="11"/>
      <c r="Q134" s="11"/>
      <c r="R134" s="11"/>
      <c r="S134" s="49"/>
      <c r="T134" s="11"/>
      <c r="U134" s="11"/>
      <c r="V134" s="11"/>
      <c r="W134" s="11"/>
      <c r="X134" s="11"/>
      <c r="Y134" s="11"/>
    </row>
    <row r="135" spans="3:25" ht="12.75">
      <c r="C135" s="61" t="s">
        <v>252</v>
      </c>
      <c r="D135" s="78" t="s">
        <v>239</v>
      </c>
      <c r="E135" s="61" t="s">
        <v>254</v>
      </c>
      <c r="F135" s="11"/>
      <c r="G135" s="11"/>
      <c r="H135" s="11"/>
      <c r="I135" s="11"/>
      <c r="J135" s="11"/>
      <c r="K135" s="11"/>
      <c r="L135" s="48"/>
      <c r="M135" s="11"/>
      <c r="N135" s="11"/>
      <c r="O135" s="11"/>
      <c r="P135" s="11"/>
      <c r="Q135" s="11"/>
      <c r="R135" s="11"/>
      <c r="S135" s="49"/>
      <c r="T135" s="11"/>
      <c r="U135" s="11"/>
      <c r="V135" s="11"/>
      <c r="W135" s="11"/>
      <c r="X135" s="11"/>
      <c r="Y135" s="11"/>
    </row>
    <row r="136" spans="3:25" ht="12.75">
      <c r="C136" s="61" t="s">
        <v>139</v>
      </c>
      <c r="D136" s="62" t="s">
        <v>240</v>
      </c>
      <c r="E136" s="69" t="s">
        <v>195</v>
      </c>
      <c r="F136" s="11"/>
      <c r="G136" s="11"/>
      <c r="H136" s="11"/>
      <c r="I136" s="11"/>
      <c r="J136" s="11"/>
      <c r="K136" s="11"/>
      <c r="L136" s="11"/>
      <c r="M136" s="11"/>
      <c r="N136" s="11"/>
      <c r="O136" s="11"/>
      <c r="P136" s="11"/>
      <c r="Q136" s="11"/>
      <c r="R136" s="11"/>
      <c r="S136" s="49"/>
      <c r="T136" s="11"/>
      <c r="U136" s="11"/>
      <c r="V136" s="11"/>
      <c r="W136" s="11"/>
      <c r="X136" s="11"/>
      <c r="Y136" s="11"/>
    </row>
    <row r="137" spans="3:25" ht="12.75">
      <c r="C137" s="61" t="s">
        <v>148</v>
      </c>
      <c r="D137" s="62" t="s">
        <v>241</v>
      </c>
      <c r="E137" s="69" t="s">
        <v>248</v>
      </c>
      <c r="F137" s="11"/>
      <c r="G137" s="11"/>
      <c r="H137" s="11"/>
      <c r="I137" s="11"/>
      <c r="J137" s="11"/>
      <c r="K137" s="11"/>
      <c r="L137" s="11"/>
      <c r="M137" s="11"/>
      <c r="N137" s="11"/>
      <c r="O137" s="11"/>
      <c r="P137" s="11"/>
      <c r="Q137" s="11"/>
      <c r="R137" s="11"/>
      <c r="S137" s="49"/>
      <c r="T137" s="11"/>
      <c r="U137" s="11"/>
      <c r="V137" s="11"/>
      <c r="W137" s="11"/>
      <c r="X137" s="11"/>
      <c r="Y137" s="11"/>
    </row>
    <row r="138" spans="3:25" ht="12.75">
      <c r="C138" s="61" t="s">
        <v>260</v>
      </c>
      <c r="D138" s="62"/>
      <c r="E138" s="69" t="s">
        <v>261</v>
      </c>
      <c r="F138" s="11"/>
      <c r="G138" s="11"/>
      <c r="H138" s="11"/>
      <c r="I138" s="11"/>
      <c r="J138" s="11"/>
      <c r="K138" s="11"/>
      <c r="L138" s="11"/>
      <c r="M138" s="11"/>
      <c r="N138" s="11"/>
      <c r="O138" s="11"/>
      <c r="P138" s="11"/>
      <c r="Q138" s="11"/>
      <c r="R138" s="11"/>
      <c r="S138" s="49"/>
      <c r="T138" s="11"/>
      <c r="U138" s="11"/>
      <c r="V138" s="11"/>
      <c r="W138" s="11"/>
      <c r="X138" s="11"/>
      <c r="Y138" s="11"/>
    </row>
    <row r="139" spans="3:25" ht="12.75">
      <c r="C139" s="61" t="s">
        <v>113</v>
      </c>
      <c r="D139" s="62" t="s">
        <v>242</v>
      </c>
      <c r="E139" s="69" t="s">
        <v>196</v>
      </c>
      <c r="F139" s="11"/>
      <c r="G139" s="11"/>
      <c r="H139" s="11"/>
      <c r="I139" s="11"/>
      <c r="J139" s="11"/>
      <c r="K139" s="11"/>
      <c r="L139" s="11"/>
      <c r="M139" s="11"/>
      <c r="N139" s="11"/>
      <c r="O139" s="11"/>
      <c r="P139" s="11"/>
      <c r="Q139" s="11"/>
      <c r="R139" s="11"/>
      <c r="S139" s="49"/>
      <c r="T139" s="11"/>
      <c r="U139" s="11"/>
      <c r="V139" s="11"/>
      <c r="W139" s="11"/>
      <c r="X139" s="11"/>
      <c r="Y139" s="11"/>
    </row>
    <row r="140" spans="3:25" ht="12.75">
      <c r="C140" s="61" t="s">
        <v>117</v>
      </c>
      <c r="D140" s="62" t="s">
        <v>243</v>
      </c>
      <c r="E140" s="69" t="s">
        <v>249</v>
      </c>
      <c r="F140" s="11"/>
      <c r="G140" s="11"/>
      <c r="H140" s="11"/>
      <c r="I140" s="11"/>
      <c r="J140" s="11"/>
      <c r="K140" s="11"/>
      <c r="L140" s="11"/>
      <c r="M140" s="11"/>
      <c r="N140" s="11"/>
      <c r="O140" s="11"/>
      <c r="P140" s="11"/>
      <c r="Q140" s="11"/>
      <c r="R140" s="11"/>
      <c r="S140" s="49"/>
      <c r="T140" s="11"/>
      <c r="U140" s="11"/>
      <c r="V140" s="11"/>
      <c r="W140" s="11"/>
      <c r="X140" s="11"/>
      <c r="Y140" s="11"/>
    </row>
    <row r="141" spans="3:25" ht="12.75">
      <c r="C141" s="61"/>
      <c r="D141" s="61"/>
      <c r="E141" s="61"/>
      <c r="F141" s="11"/>
      <c r="G141" s="11"/>
      <c r="H141" s="11"/>
      <c r="I141" s="11"/>
      <c r="J141" s="11"/>
      <c r="K141" s="11"/>
      <c r="L141" s="11"/>
      <c r="M141" s="11"/>
      <c r="N141" s="11"/>
      <c r="O141" s="11"/>
      <c r="P141" s="11"/>
      <c r="Q141" s="11"/>
      <c r="R141" s="11"/>
      <c r="S141" s="49"/>
      <c r="T141" s="11"/>
      <c r="U141" s="11"/>
      <c r="V141" s="11"/>
      <c r="W141" s="11"/>
      <c r="X141" s="11"/>
      <c r="Y141" s="11"/>
    </row>
    <row r="142" spans="3:25" ht="12.75">
      <c r="C142" s="61"/>
      <c r="D142" s="61"/>
      <c r="E142" s="61"/>
      <c r="F142" s="11"/>
      <c r="G142" s="11"/>
      <c r="H142" s="11"/>
      <c r="I142" s="11"/>
      <c r="J142" s="11"/>
      <c r="K142" s="11"/>
      <c r="L142" s="11"/>
      <c r="M142" s="11"/>
      <c r="N142" s="11"/>
      <c r="O142" s="11"/>
      <c r="P142" s="11"/>
      <c r="Q142" s="11"/>
      <c r="R142" s="11"/>
      <c r="S142" s="49"/>
      <c r="T142" s="11"/>
      <c r="U142" s="11"/>
      <c r="V142" s="11"/>
      <c r="W142" s="11"/>
      <c r="X142" s="11"/>
      <c r="Y142" s="11"/>
    </row>
    <row r="143" spans="3:25" ht="12.75">
      <c r="C143" s="61"/>
      <c r="D143" s="61"/>
      <c r="E143" s="61"/>
      <c r="F143" s="11"/>
      <c r="G143" s="11"/>
      <c r="H143" s="11"/>
      <c r="I143" s="11"/>
      <c r="J143" s="11"/>
      <c r="K143" s="11"/>
      <c r="L143" s="11"/>
      <c r="M143" s="11"/>
      <c r="N143" s="11"/>
      <c r="O143" s="11"/>
      <c r="P143" s="11"/>
      <c r="Q143" s="11"/>
      <c r="R143" s="11"/>
      <c r="S143" s="49"/>
      <c r="T143" s="11"/>
      <c r="U143" s="11"/>
      <c r="V143" s="11"/>
      <c r="W143" s="11"/>
      <c r="X143" s="11"/>
      <c r="Y143" s="11"/>
    </row>
    <row r="144" spans="3:25" ht="12.75">
      <c r="C144" s="70"/>
      <c r="D144" s="61"/>
      <c r="E144" s="61"/>
      <c r="F144" s="11"/>
      <c r="G144" s="11"/>
      <c r="H144" s="11"/>
      <c r="I144" s="11"/>
      <c r="J144" s="11"/>
      <c r="K144" s="11"/>
      <c r="L144" s="11"/>
      <c r="M144" s="11"/>
      <c r="N144" s="11"/>
      <c r="O144" s="11"/>
      <c r="P144" s="11"/>
      <c r="Q144" s="11"/>
      <c r="R144" s="11"/>
      <c r="S144" s="49"/>
      <c r="T144" s="11"/>
      <c r="U144" s="11"/>
      <c r="V144" s="11"/>
      <c r="W144" s="11"/>
      <c r="X144" s="11"/>
      <c r="Y144" s="11"/>
    </row>
    <row r="145" spans="3:25" ht="12.75">
      <c r="C145" s="70"/>
      <c r="D145" s="61"/>
      <c r="E145" s="61"/>
      <c r="F145" s="11"/>
      <c r="G145" s="11"/>
      <c r="H145" s="11"/>
      <c r="I145" s="11"/>
      <c r="J145" s="11"/>
      <c r="K145" s="11"/>
      <c r="L145" s="11"/>
      <c r="M145" s="11"/>
      <c r="N145" s="11"/>
      <c r="O145" s="11"/>
      <c r="P145" s="11"/>
      <c r="Q145" s="11"/>
      <c r="R145" s="11"/>
      <c r="S145" s="49"/>
      <c r="T145" s="11"/>
      <c r="U145" s="11"/>
      <c r="V145" s="11"/>
      <c r="W145" s="11"/>
      <c r="X145" s="11"/>
      <c r="Y145" s="11"/>
    </row>
    <row r="146" spans="3:25" ht="12.75">
      <c r="C146" s="70"/>
      <c r="D146" s="61"/>
      <c r="E146" s="61"/>
      <c r="F146" s="11"/>
      <c r="G146" s="11"/>
      <c r="H146" s="11"/>
      <c r="I146" s="11"/>
      <c r="J146" s="11"/>
      <c r="K146" s="11"/>
      <c r="L146" s="11"/>
      <c r="M146" s="11"/>
      <c r="N146" s="11"/>
      <c r="O146" s="11"/>
      <c r="P146" s="11"/>
      <c r="Q146" s="11"/>
      <c r="R146" s="11"/>
      <c r="S146" s="49"/>
      <c r="T146" s="11"/>
      <c r="U146" s="11"/>
      <c r="V146" s="11"/>
      <c r="W146" s="11"/>
      <c r="X146" s="11"/>
      <c r="Y146" s="11"/>
    </row>
    <row r="147" spans="3:25" ht="12.75">
      <c r="C147" s="70"/>
      <c r="D147" s="61"/>
      <c r="E147" s="61"/>
      <c r="F147" s="11"/>
      <c r="G147" s="11"/>
      <c r="H147" s="11"/>
      <c r="I147" s="11"/>
      <c r="J147" s="11"/>
      <c r="K147" s="11"/>
      <c r="L147" s="11"/>
      <c r="M147" s="11"/>
      <c r="N147" s="11"/>
      <c r="O147" s="11"/>
      <c r="P147" s="11"/>
      <c r="Q147" s="11"/>
      <c r="R147" s="11"/>
      <c r="S147" s="49"/>
      <c r="T147" s="11"/>
      <c r="U147" s="11"/>
      <c r="V147" s="11"/>
      <c r="W147" s="11"/>
      <c r="X147" s="11"/>
      <c r="Y147" s="11"/>
    </row>
    <row r="148" spans="3:25" ht="12.75">
      <c r="C148" s="70"/>
      <c r="D148" s="61"/>
      <c r="E148" s="61"/>
      <c r="F148" s="11"/>
      <c r="G148" s="11"/>
      <c r="H148" s="11"/>
      <c r="I148" s="11"/>
      <c r="J148" s="11"/>
      <c r="K148" s="11"/>
      <c r="L148" s="11"/>
      <c r="M148" s="11"/>
      <c r="N148" s="11"/>
      <c r="O148" s="11"/>
      <c r="P148" s="11"/>
      <c r="Q148" s="11"/>
      <c r="R148" s="11"/>
      <c r="S148" s="49"/>
      <c r="T148" s="11"/>
      <c r="U148" s="11"/>
      <c r="V148" s="11"/>
      <c r="W148" s="11"/>
      <c r="X148" s="11"/>
      <c r="Y148" s="11"/>
    </row>
    <row r="149" spans="3:25" ht="12.75">
      <c r="C149" s="70"/>
      <c r="D149" s="61"/>
      <c r="E149" s="61"/>
      <c r="F149" s="11"/>
      <c r="G149" s="11"/>
      <c r="H149" s="11"/>
      <c r="I149" s="11"/>
      <c r="J149" s="11"/>
      <c r="K149" s="11"/>
      <c r="L149" s="11"/>
      <c r="M149" s="11"/>
      <c r="N149" s="11"/>
      <c r="O149" s="11"/>
      <c r="P149" s="11"/>
      <c r="Q149" s="11"/>
      <c r="R149" s="11"/>
      <c r="S149" s="49"/>
      <c r="T149" s="11"/>
      <c r="U149" s="11"/>
      <c r="V149" s="11"/>
      <c r="W149" s="11"/>
      <c r="X149" s="11"/>
      <c r="Y149" s="11"/>
    </row>
    <row r="150" spans="3:25" ht="12.75">
      <c r="C150" s="70"/>
      <c r="D150" s="61"/>
      <c r="E150" s="61"/>
      <c r="F150" s="11"/>
      <c r="G150" s="11"/>
      <c r="H150" s="11"/>
      <c r="I150" s="11"/>
      <c r="J150" s="11"/>
      <c r="K150" s="11"/>
      <c r="L150" s="11"/>
      <c r="M150" s="11"/>
      <c r="N150" s="11"/>
      <c r="O150" s="11"/>
      <c r="P150" s="11"/>
      <c r="Q150" s="11"/>
      <c r="R150" s="11"/>
      <c r="S150" s="49"/>
      <c r="T150" s="11"/>
      <c r="U150" s="11"/>
      <c r="V150" s="11"/>
      <c r="W150" s="11"/>
      <c r="X150" s="11"/>
      <c r="Y150" s="11"/>
    </row>
    <row r="151" spans="3:25" ht="12.75">
      <c r="C151" s="70"/>
      <c r="D151" s="61"/>
      <c r="E151" s="61"/>
      <c r="F151" s="11"/>
      <c r="G151" s="11"/>
      <c r="H151" s="11"/>
      <c r="I151" s="11"/>
      <c r="J151" s="11"/>
      <c r="K151" s="11"/>
      <c r="L151" s="11"/>
      <c r="M151" s="11"/>
      <c r="N151" s="11"/>
      <c r="O151" s="11"/>
      <c r="P151" s="11"/>
      <c r="Q151" s="11"/>
      <c r="R151" s="11"/>
      <c r="S151" s="49"/>
      <c r="T151" s="11"/>
      <c r="U151" s="11"/>
      <c r="V151" s="11"/>
      <c r="W151" s="11"/>
      <c r="X151" s="11"/>
      <c r="Y151" s="11"/>
    </row>
    <row r="152" spans="3:25" ht="12.75">
      <c r="C152" s="70"/>
      <c r="D152" s="61"/>
      <c r="E152" s="61"/>
      <c r="F152" s="11"/>
      <c r="G152" s="11"/>
      <c r="H152" s="11"/>
      <c r="I152" s="11"/>
      <c r="J152" s="11"/>
      <c r="K152" s="11"/>
      <c r="L152" s="11"/>
      <c r="M152" s="11"/>
      <c r="N152" s="11"/>
      <c r="O152" s="11"/>
      <c r="P152" s="11"/>
      <c r="Q152" s="11"/>
      <c r="R152" s="11"/>
      <c r="S152" s="49"/>
      <c r="T152" s="11"/>
      <c r="U152" s="11"/>
      <c r="V152" s="11"/>
      <c r="W152" s="11"/>
      <c r="X152" s="11"/>
      <c r="Y152" s="11"/>
    </row>
    <row r="153" spans="3:25" ht="12.75">
      <c r="C153" s="70"/>
      <c r="D153" s="61"/>
      <c r="E153" s="61"/>
      <c r="F153" s="11"/>
      <c r="G153" s="11"/>
      <c r="H153" s="11"/>
      <c r="I153" s="11"/>
      <c r="J153" s="11"/>
      <c r="K153" s="11"/>
      <c r="L153" s="11"/>
      <c r="M153" s="11"/>
      <c r="N153" s="11"/>
      <c r="O153" s="11"/>
      <c r="P153" s="11"/>
      <c r="Q153" s="11"/>
      <c r="R153" s="11"/>
      <c r="S153" s="49"/>
      <c r="T153" s="11"/>
      <c r="U153" s="11"/>
      <c r="V153" s="11"/>
      <c r="W153" s="11"/>
      <c r="X153" s="11"/>
      <c r="Y153" s="11"/>
    </row>
    <row r="154" spans="3:25" ht="12.75">
      <c r="C154" s="70"/>
      <c r="D154" s="61"/>
      <c r="E154" s="61"/>
      <c r="F154" s="11"/>
      <c r="G154" s="11"/>
      <c r="H154" s="11"/>
      <c r="I154" s="11"/>
      <c r="J154" s="11"/>
      <c r="K154" s="11"/>
      <c r="L154" s="11"/>
      <c r="M154" s="11"/>
      <c r="N154" s="11"/>
      <c r="O154" s="11"/>
      <c r="P154" s="11"/>
      <c r="Q154" s="11"/>
      <c r="R154" s="11"/>
      <c r="S154" s="49"/>
      <c r="T154" s="11"/>
      <c r="U154" s="11"/>
      <c r="V154" s="11"/>
      <c r="W154" s="11"/>
      <c r="X154" s="11"/>
      <c r="Y154" s="11"/>
    </row>
    <row r="155" spans="3:25" ht="12.75">
      <c r="C155" s="70"/>
      <c r="D155" s="61"/>
      <c r="E155" s="61"/>
      <c r="F155" s="11"/>
      <c r="G155" s="11"/>
      <c r="H155" s="11"/>
      <c r="I155" s="11"/>
      <c r="J155" s="11"/>
      <c r="K155" s="11"/>
      <c r="L155" s="11"/>
      <c r="M155" s="11"/>
      <c r="N155" s="11"/>
      <c r="O155" s="11"/>
      <c r="P155" s="11"/>
      <c r="Q155" s="11"/>
      <c r="R155" s="11"/>
      <c r="S155" s="49"/>
      <c r="T155" s="11"/>
      <c r="U155" s="11"/>
      <c r="V155" s="11"/>
      <c r="W155" s="11"/>
      <c r="X155" s="11"/>
      <c r="Y155" s="11"/>
    </row>
    <row r="156" spans="3:25" ht="12.75">
      <c r="C156" s="70"/>
      <c r="D156" s="61"/>
      <c r="E156" s="61"/>
      <c r="F156" s="11"/>
      <c r="G156" s="11"/>
      <c r="H156" s="11"/>
      <c r="I156" s="11"/>
      <c r="J156" s="11"/>
      <c r="K156" s="11"/>
      <c r="L156" s="11"/>
      <c r="M156" s="11"/>
      <c r="N156" s="11"/>
      <c r="O156" s="11"/>
      <c r="P156" s="11"/>
      <c r="Q156" s="11"/>
      <c r="R156" s="11"/>
      <c r="S156" s="49"/>
      <c r="T156" s="11"/>
      <c r="U156" s="11"/>
      <c r="V156" s="11"/>
      <c r="W156" s="11"/>
      <c r="X156" s="11"/>
      <c r="Y156" s="11"/>
    </row>
    <row r="157" spans="3:25" ht="12.75">
      <c r="C157" s="70"/>
      <c r="D157" s="61"/>
      <c r="E157" s="61"/>
      <c r="F157" s="11"/>
      <c r="G157" s="11"/>
      <c r="H157" s="11"/>
      <c r="I157" s="11"/>
      <c r="J157" s="11"/>
      <c r="K157" s="11"/>
      <c r="L157" s="11"/>
      <c r="M157" s="11"/>
      <c r="N157" s="11"/>
      <c r="O157" s="11"/>
      <c r="P157" s="11"/>
      <c r="Q157" s="11"/>
      <c r="R157" s="11"/>
      <c r="S157" s="49"/>
      <c r="T157" s="11"/>
      <c r="U157" s="11"/>
      <c r="V157" s="11"/>
      <c r="W157" s="11"/>
      <c r="X157" s="11"/>
      <c r="Y157" s="11"/>
    </row>
    <row r="158" spans="3:25" ht="12.75">
      <c r="C158" s="70"/>
      <c r="D158" s="61"/>
      <c r="E158" s="61"/>
      <c r="F158" s="11"/>
      <c r="G158" s="11"/>
      <c r="H158" s="11"/>
      <c r="I158" s="11"/>
      <c r="J158" s="11"/>
      <c r="K158" s="11"/>
      <c r="L158" s="11"/>
      <c r="M158" s="11"/>
      <c r="N158" s="11"/>
      <c r="O158" s="11"/>
      <c r="P158" s="11"/>
      <c r="Q158" s="11"/>
      <c r="R158" s="11"/>
      <c r="S158" s="49"/>
      <c r="T158" s="11"/>
      <c r="U158" s="11"/>
      <c r="V158" s="11"/>
      <c r="W158" s="11"/>
      <c r="X158" s="11"/>
      <c r="Y158" s="11"/>
    </row>
    <row r="159" spans="3:25" ht="12.75">
      <c r="C159" s="70"/>
      <c r="D159" s="61"/>
      <c r="E159" s="61"/>
      <c r="F159" s="11"/>
      <c r="G159" s="11"/>
      <c r="H159" s="11"/>
      <c r="I159" s="11"/>
      <c r="J159" s="11"/>
      <c r="K159" s="11"/>
      <c r="L159" s="11"/>
      <c r="M159" s="11"/>
      <c r="N159" s="11"/>
      <c r="O159" s="11"/>
      <c r="P159" s="11"/>
      <c r="Q159" s="11"/>
      <c r="R159" s="11"/>
      <c r="S159" s="49"/>
      <c r="T159" s="11"/>
      <c r="U159" s="11"/>
      <c r="V159" s="11"/>
      <c r="W159" s="11"/>
      <c r="X159" s="11"/>
      <c r="Y159" s="11"/>
    </row>
    <row r="160" spans="3:25" ht="12.75">
      <c r="C160" s="70"/>
      <c r="D160" s="61"/>
      <c r="E160" s="61"/>
      <c r="F160" s="11"/>
      <c r="G160" s="11"/>
      <c r="H160" s="11"/>
      <c r="I160" s="11"/>
      <c r="J160" s="11"/>
      <c r="K160" s="11"/>
      <c r="L160" s="11"/>
      <c r="M160" s="11"/>
      <c r="N160" s="11"/>
      <c r="O160" s="11"/>
      <c r="P160" s="11"/>
      <c r="Q160" s="11"/>
      <c r="R160" s="11"/>
      <c r="S160" s="49"/>
      <c r="T160" s="11"/>
      <c r="U160" s="11"/>
      <c r="V160" s="11"/>
      <c r="W160" s="11"/>
      <c r="X160" s="11"/>
      <c r="Y160" s="11"/>
    </row>
    <row r="161" spans="3:25" ht="12.75">
      <c r="C161" s="70"/>
      <c r="D161" s="61"/>
      <c r="E161" s="61"/>
      <c r="F161" s="11"/>
      <c r="G161" s="11"/>
      <c r="H161" s="11"/>
      <c r="I161" s="11"/>
      <c r="J161" s="11"/>
      <c r="K161" s="11"/>
      <c r="L161" s="11"/>
      <c r="M161" s="11"/>
      <c r="N161" s="11"/>
      <c r="O161" s="11"/>
      <c r="P161" s="11"/>
      <c r="Q161" s="11"/>
      <c r="R161" s="11"/>
      <c r="S161" s="49"/>
      <c r="T161" s="11"/>
      <c r="U161" s="11"/>
      <c r="V161" s="11"/>
      <c r="W161" s="11"/>
      <c r="X161" s="11"/>
      <c r="Y161" s="11"/>
    </row>
    <row r="162" spans="3:25" ht="12.75">
      <c r="C162" s="70"/>
      <c r="D162" s="61"/>
      <c r="E162" s="61"/>
      <c r="F162" s="11"/>
      <c r="G162" s="11"/>
      <c r="H162" s="11"/>
      <c r="I162" s="11"/>
      <c r="J162" s="11"/>
      <c r="K162" s="11"/>
      <c r="L162" s="11"/>
      <c r="M162" s="11"/>
      <c r="N162" s="11"/>
      <c r="O162" s="11"/>
      <c r="P162" s="11"/>
      <c r="Q162" s="11"/>
      <c r="R162" s="11"/>
      <c r="S162" s="49"/>
      <c r="T162" s="11"/>
      <c r="U162" s="11"/>
      <c r="V162" s="11"/>
      <c r="W162" s="11"/>
      <c r="X162" s="11"/>
      <c r="Y162" s="11"/>
    </row>
    <row r="163" spans="3:25" ht="12.75">
      <c r="C163" s="70"/>
      <c r="D163" s="61"/>
      <c r="E163" s="61"/>
      <c r="F163" s="11"/>
      <c r="G163" s="11"/>
      <c r="H163" s="11"/>
      <c r="I163" s="11"/>
      <c r="J163" s="11"/>
      <c r="K163" s="11"/>
      <c r="L163" s="11"/>
      <c r="M163" s="11"/>
      <c r="N163" s="11"/>
      <c r="O163" s="11"/>
      <c r="P163" s="11"/>
      <c r="Q163" s="11"/>
      <c r="R163" s="11"/>
      <c r="S163" s="49"/>
      <c r="T163" s="11"/>
      <c r="U163" s="11"/>
      <c r="V163" s="11"/>
      <c r="W163" s="11"/>
      <c r="X163" s="11"/>
      <c r="Y163" s="11"/>
    </row>
    <row r="164" spans="3:25" ht="12.75">
      <c r="C164" s="70"/>
      <c r="D164" s="61"/>
      <c r="E164" s="61"/>
      <c r="F164" s="11"/>
      <c r="G164" s="11"/>
      <c r="H164" s="11"/>
      <c r="I164" s="11"/>
      <c r="J164" s="11"/>
      <c r="K164" s="11"/>
      <c r="L164" s="11"/>
      <c r="M164" s="11"/>
      <c r="N164" s="11"/>
      <c r="O164" s="11"/>
      <c r="P164" s="11"/>
      <c r="Q164" s="11"/>
      <c r="R164" s="11"/>
      <c r="S164" s="49"/>
      <c r="T164" s="11"/>
      <c r="U164" s="11"/>
      <c r="V164" s="11"/>
      <c r="W164" s="11"/>
      <c r="X164" s="11"/>
      <c r="Y164" s="11"/>
    </row>
    <row r="165" spans="3:25" ht="12.75">
      <c r="C165" s="70"/>
      <c r="D165" s="61"/>
      <c r="E165" s="61"/>
      <c r="F165" s="11"/>
      <c r="G165" s="11"/>
      <c r="H165" s="11"/>
      <c r="I165" s="11"/>
      <c r="J165" s="11"/>
      <c r="K165" s="11"/>
      <c r="L165" s="11"/>
      <c r="M165" s="11"/>
      <c r="N165" s="11"/>
      <c r="O165" s="11"/>
      <c r="P165" s="11"/>
      <c r="Q165" s="11"/>
      <c r="R165" s="11"/>
      <c r="S165" s="49"/>
      <c r="T165" s="11"/>
      <c r="U165" s="11"/>
      <c r="V165" s="11"/>
      <c r="W165" s="11"/>
      <c r="X165" s="11"/>
      <c r="Y165" s="11"/>
    </row>
    <row r="166" spans="3:25" ht="12.75">
      <c r="C166" s="70"/>
      <c r="D166" s="61"/>
      <c r="E166" s="61"/>
      <c r="F166" s="11"/>
      <c r="G166" s="11"/>
      <c r="H166" s="11"/>
      <c r="I166" s="11"/>
      <c r="J166" s="11"/>
      <c r="K166" s="11"/>
      <c r="L166" s="11"/>
      <c r="M166" s="11"/>
      <c r="N166" s="11"/>
      <c r="O166" s="11"/>
      <c r="P166" s="11"/>
      <c r="Q166" s="11"/>
      <c r="R166" s="11"/>
      <c r="S166" s="49"/>
      <c r="T166" s="11"/>
      <c r="U166" s="11"/>
      <c r="V166" s="11"/>
      <c r="W166" s="11"/>
      <c r="X166" s="11"/>
      <c r="Y166" s="11"/>
    </row>
    <row r="167" spans="3:25" ht="12.75">
      <c r="C167" s="70"/>
      <c r="D167" s="61"/>
      <c r="E167" s="61"/>
      <c r="F167" s="11"/>
      <c r="G167" s="11"/>
      <c r="H167" s="11"/>
      <c r="I167" s="11"/>
      <c r="J167" s="11"/>
      <c r="K167" s="11"/>
      <c r="L167" s="11"/>
      <c r="M167" s="11"/>
      <c r="N167" s="11"/>
      <c r="O167" s="11"/>
      <c r="P167" s="11"/>
      <c r="Q167" s="11"/>
      <c r="R167" s="11"/>
      <c r="S167" s="49"/>
      <c r="T167" s="11"/>
      <c r="U167" s="11"/>
      <c r="V167" s="11"/>
      <c r="W167" s="11"/>
      <c r="X167" s="11"/>
      <c r="Y167" s="11"/>
    </row>
    <row r="168" spans="3:25" ht="12.75">
      <c r="C168" s="70"/>
      <c r="D168" s="61"/>
      <c r="E168" s="61"/>
      <c r="F168" s="11"/>
      <c r="G168" s="11"/>
      <c r="H168" s="11"/>
      <c r="I168" s="11"/>
      <c r="J168" s="11"/>
      <c r="K168" s="11"/>
      <c r="L168" s="11"/>
      <c r="M168" s="11"/>
      <c r="N168" s="11"/>
      <c r="O168" s="11"/>
      <c r="P168" s="11"/>
      <c r="Q168" s="11"/>
      <c r="R168" s="11"/>
      <c r="S168" s="49"/>
      <c r="T168" s="11"/>
      <c r="U168" s="11"/>
      <c r="V168" s="11"/>
      <c r="W168" s="11"/>
      <c r="X168" s="11"/>
      <c r="Y168" s="11"/>
    </row>
    <row r="169" spans="3:25" ht="12.75">
      <c r="C169" s="70"/>
      <c r="D169" s="61"/>
      <c r="E169" s="61"/>
      <c r="F169" s="11"/>
      <c r="G169" s="11"/>
      <c r="H169" s="11"/>
      <c r="I169" s="11"/>
      <c r="J169" s="11"/>
      <c r="K169" s="11"/>
      <c r="L169" s="11"/>
      <c r="M169" s="11"/>
      <c r="N169" s="11"/>
      <c r="O169" s="11"/>
      <c r="P169" s="11"/>
      <c r="Q169" s="11"/>
      <c r="R169" s="11"/>
      <c r="S169" s="49"/>
      <c r="T169" s="11"/>
      <c r="U169" s="11"/>
      <c r="V169" s="11"/>
      <c r="W169" s="11"/>
      <c r="X169" s="11"/>
      <c r="Y169" s="11"/>
    </row>
    <row r="170" spans="3:25" ht="12.75">
      <c r="C170" s="70"/>
      <c r="D170" s="61"/>
      <c r="E170" s="61"/>
      <c r="F170" s="11"/>
      <c r="G170" s="11"/>
      <c r="H170" s="11"/>
      <c r="I170" s="11"/>
      <c r="J170" s="11"/>
      <c r="K170" s="11"/>
      <c r="L170" s="11"/>
      <c r="M170" s="11"/>
      <c r="N170" s="11"/>
      <c r="O170" s="11"/>
      <c r="P170" s="11"/>
      <c r="Q170" s="11"/>
      <c r="R170" s="11"/>
      <c r="S170" s="49"/>
      <c r="T170" s="11"/>
      <c r="U170" s="11"/>
      <c r="V170" s="11"/>
      <c r="W170" s="11"/>
      <c r="X170" s="11"/>
      <c r="Y170" s="11"/>
    </row>
    <row r="171" spans="3:25" ht="12.75">
      <c r="C171" s="70"/>
      <c r="D171" s="61"/>
      <c r="E171" s="61"/>
      <c r="F171" s="11"/>
      <c r="G171" s="11"/>
      <c r="H171" s="11"/>
      <c r="I171" s="11"/>
      <c r="J171" s="11"/>
      <c r="K171" s="11"/>
      <c r="L171" s="11"/>
      <c r="M171" s="11"/>
      <c r="N171" s="11"/>
      <c r="O171" s="11"/>
      <c r="P171" s="11"/>
      <c r="Q171" s="11"/>
      <c r="R171" s="11"/>
      <c r="S171" s="49"/>
      <c r="T171" s="11"/>
      <c r="U171" s="11"/>
      <c r="V171" s="11"/>
      <c r="W171" s="11"/>
      <c r="X171" s="11"/>
      <c r="Y171" s="11"/>
    </row>
    <row r="172" spans="3:25" ht="12.75">
      <c r="C172" s="70"/>
      <c r="D172" s="61"/>
      <c r="E172" s="61"/>
      <c r="F172" s="11"/>
      <c r="G172" s="11"/>
      <c r="H172" s="11"/>
      <c r="I172" s="11"/>
      <c r="J172" s="11"/>
      <c r="K172" s="11"/>
      <c r="L172" s="11"/>
      <c r="M172" s="11"/>
      <c r="N172" s="11"/>
      <c r="O172" s="11"/>
      <c r="P172" s="11"/>
      <c r="Q172" s="11"/>
      <c r="R172" s="11"/>
      <c r="S172" s="49"/>
      <c r="T172" s="11"/>
      <c r="U172" s="11"/>
      <c r="V172" s="11"/>
      <c r="W172" s="11"/>
      <c r="X172" s="11"/>
      <c r="Y172" s="11"/>
    </row>
    <row r="173" spans="3:25" ht="12.75">
      <c r="C173" s="70"/>
      <c r="D173" s="61"/>
      <c r="E173" s="61"/>
      <c r="F173" s="11"/>
      <c r="G173" s="11"/>
      <c r="H173" s="11"/>
      <c r="I173" s="11"/>
      <c r="J173" s="11"/>
      <c r="K173" s="11"/>
      <c r="L173" s="11"/>
      <c r="M173" s="11"/>
      <c r="N173" s="11"/>
      <c r="O173" s="11"/>
      <c r="P173" s="11"/>
      <c r="Q173" s="11"/>
      <c r="R173" s="11"/>
      <c r="S173" s="49"/>
      <c r="T173" s="11"/>
      <c r="U173" s="11"/>
      <c r="V173" s="11"/>
      <c r="W173" s="11"/>
      <c r="X173" s="11"/>
      <c r="Y173" s="11"/>
    </row>
    <row r="174" spans="3:25" ht="12.75">
      <c r="C174" s="70"/>
      <c r="D174" s="61"/>
      <c r="E174" s="61"/>
      <c r="F174" s="11"/>
      <c r="G174" s="11"/>
      <c r="H174" s="11"/>
      <c r="I174" s="11"/>
      <c r="J174" s="11"/>
      <c r="K174" s="11"/>
      <c r="L174" s="11"/>
      <c r="M174" s="11"/>
      <c r="N174" s="11"/>
      <c r="O174" s="11"/>
      <c r="P174" s="11"/>
      <c r="Q174" s="11"/>
      <c r="R174" s="11"/>
      <c r="S174" s="49"/>
      <c r="T174" s="11"/>
      <c r="U174" s="11"/>
      <c r="V174" s="11"/>
      <c r="W174" s="11"/>
      <c r="X174" s="11"/>
      <c r="Y174" s="11"/>
    </row>
    <row r="175" spans="3:25" ht="12.75">
      <c r="C175" s="70"/>
      <c r="D175" s="61"/>
      <c r="E175" s="61"/>
      <c r="F175" s="11"/>
      <c r="G175" s="11"/>
      <c r="H175" s="11"/>
      <c r="I175" s="11"/>
      <c r="J175" s="11"/>
      <c r="K175" s="11"/>
      <c r="L175" s="11"/>
      <c r="M175" s="11"/>
      <c r="N175" s="11"/>
      <c r="O175" s="11"/>
      <c r="P175" s="11"/>
      <c r="Q175" s="11"/>
      <c r="R175" s="11"/>
      <c r="S175" s="49"/>
      <c r="T175" s="11"/>
      <c r="U175" s="11"/>
      <c r="V175" s="11"/>
      <c r="W175" s="11"/>
      <c r="X175" s="11"/>
      <c r="Y175" s="11"/>
    </row>
    <row r="176" spans="3:25" ht="12.75">
      <c r="C176" s="70"/>
      <c r="D176" s="61"/>
      <c r="E176" s="61"/>
      <c r="F176" s="11"/>
      <c r="G176" s="11"/>
      <c r="H176" s="11"/>
      <c r="I176" s="11"/>
      <c r="J176" s="11"/>
      <c r="K176" s="11"/>
      <c r="L176" s="11"/>
      <c r="M176" s="11"/>
      <c r="N176" s="11"/>
      <c r="O176" s="11"/>
      <c r="P176" s="11"/>
      <c r="Q176" s="11"/>
      <c r="R176" s="11"/>
      <c r="S176" s="49"/>
      <c r="T176" s="11"/>
      <c r="U176" s="11"/>
      <c r="V176" s="11"/>
      <c r="W176" s="11"/>
      <c r="X176" s="11"/>
      <c r="Y176" s="11"/>
    </row>
    <row r="177" spans="3:25" ht="12.75">
      <c r="C177" s="70"/>
      <c r="D177" s="61"/>
      <c r="E177" s="61"/>
      <c r="F177" s="11"/>
      <c r="G177" s="11"/>
      <c r="H177" s="11"/>
      <c r="I177" s="11"/>
      <c r="J177" s="11"/>
      <c r="K177" s="11"/>
      <c r="L177" s="11"/>
      <c r="M177" s="11"/>
      <c r="N177" s="11"/>
      <c r="O177" s="11"/>
      <c r="P177" s="11"/>
      <c r="Q177" s="11"/>
      <c r="R177" s="11"/>
      <c r="S177" s="49"/>
      <c r="T177" s="11"/>
      <c r="U177" s="11"/>
      <c r="V177" s="11"/>
      <c r="W177" s="11"/>
      <c r="X177" s="11"/>
      <c r="Y177" s="11"/>
    </row>
    <row r="178" spans="3:25" ht="12.75">
      <c r="C178" s="70"/>
      <c r="D178" s="61"/>
      <c r="E178" s="61"/>
      <c r="F178" s="11"/>
      <c r="G178" s="11"/>
      <c r="H178" s="11"/>
      <c r="I178" s="11"/>
      <c r="J178" s="11"/>
      <c r="K178" s="11"/>
      <c r="L178" s="11"/>
      <c r="M178" s="11"/>
      <c r="N178" s="11"/>
      <c r="O178" s="11"/>
      <c r="P178" s="11"/>
      <c r="Q178" s="11"/>
      <c r="R178" s="11"/>
      <c r="S178" s="49"/>
      <c r="T178" s="11"/>
      <c r="U178" s="11"/>
      <c r="V178" s="11"/>
      <c r="W178" s="11"/>
      <c r="X178" s="11"/>
      <c r="Y178" s="11"/>
    </row>
    <row r="179" spans="3:25" ht="12.75">
      <c r="C179" s="70"/>
      <c r="D179" s="61"/>
      <c r="E179" s="61"/>
      <c r="F179" s="11"/>
      <c r="G179" s="11"/>
      <c r="H179" s="11"/>
      <c r="I179" s="11"/>
      <c r="J179" s="11"/>
      <c r="K179" s="11"/>
      <c r="L179" s="11"/>
      <c r="M179" s="11"/>
      <c r="N179" s="11"/>
      <c r="O179" s="11"/>
      <c r="P179" s="11"/>
      <c r="Q179" s="11"/>
      <c r="R179" s="11"/>
      <c r="S179" s="49"/>
      <c r="T179" s="11"/>
      <c r="U179" s="11"/>
      <c r="V179" s="11"/>
      <c r="W179" s="11"/>
      <c r="X179" s="11"/>
      <c r="Y179" s="11"/>
    </row>
    <row r="180" spans="3:25" ht="12.75">
      <c r="C180" s="70"/>
      <c r="D180" s="61"/>
      <c r="E180" s="61"/>
      <c r="F180" s="11"/>
      <c r="G180" s="11"/>
      <c r="H180" s="11"/>
      <c r="I180" s="11"/>
      <c r="J180" s="11"/>
      <c r="K180" s="11"/>
      <c r="L180" s="11"/>
      <c r="M180" s="11"/>
      <c r="N180" s="11"/>
      <c r="O180" s="11"/>
      <c r="P180" s="11"/>
      <c r="Q180" s="11"/>
      <c r="R180" s="11"/>
      <c r="S180" s="49"/>
      <c r="T180" s="11"/>
      <c r="U180" s="11"/>
      <c r="V180" s="11"/>
      <c r="W180" s="11"/>
      <c r="X180" s="11"/>
      <c r="Y180" s="11"/>
    </row>
    <row r="181" spans="3:25" ht="12.75">
      <c r="C181" s="70"/>
      <c r="D181" s="61"/>
      <c r="E181" s="61"/>
      <c r="F181" s="11"/>
      <c r="G181" s="11"/>
      <c r="H181" s="11"/>
      <c r="I181" s="11"/>
      <c r="J181" s="11"/>
      <c r="K181" s="11"/>
      <c r="L181" s="11"/>
      <c r="M181" s="11"/>
      <c r="N181" s="11"/>
      <c r="O181" s="11"/>
      <c r="P181" s="11"/>
      <c r="Q181" s="11"/>
      <c r="R181" s="11"/>
      <c r="S181" s="49"/>
      <c r="T181" s="11"/>
      <c r="U181" s="11"/>
      <c r="V181" s="11"/>
      <c r="W181" s="11"/>
      <c r="X181" s="11"/>
      <c r="Y181" s="11"/>
    </row>
    <row r="182" spans="3:25" ht="12.75">
      <c r="C182" s="70"/>
      <c r="D182" s="61"/>
      <c r="E182" s="61"/>
      <c r="F182" s="11"/>
      <c r="G182" s="11"/>
      <c r="H182" s="11"/>
      <c r="I182" s="11"/>
      <c r="J182" s="11"/>
      <c r="K182" s="11"/>
      <c r="L182" s="11"/>
      <c r="M182" s="11"/>
      <c r="N182" s="11"/>
      <c r="O182" s="11"/>
      <c r="P182" s="11"/>
      <c r="Q182" s="11"/>
      <c r="R182" s="11"/>
      <c r="S182" s="49"/>
      <c r="T182" s="11"/>
      <c r="U182" s="11"/>
      <c r="V182" s="11"/>
      <c r="W182" s="11"/>
      <c r="X182" s="11"/>
      <c r="Y182" s="11"/>
    </row>
    <row r="183" spans="3:25" ht="12.75">
      <c r="C183" s="70"/>
      <c r="D183" s="61"/>
      <c r="E183" s="61"/>
      <c r="F183" s="11"/>
      <c r="G183" s="11"/>
      <c r="H183" s="11"/>
      <c r="I183" s="11"/>
      <c r="J183" s="11"/>
      <c r="K183" s="11"/>
      <c r="L183" s="11"/>
      <c r="M183" s="11"/>
      <c r="N183" s="11"/>
      <c r="O183" s="11"/>
      <c r="P183" s="11"/>
      <c r="Q183" s="11"/>
      <c r="R183" s="11"/>
      <c r="S183" s="49"/>
      <c r="T183" s="11"/>
      <c r="U183" s="11"/>
      <c r="V183" s="11"/>
      <c r="W183" s="11"/>
      <c r="X183" s="11"/>
      <c r="Y183" s="11"/>
    </row>
    <row r="184" spans="3:25" ht="12.75">
      <c r="C184" s="70"/>
      <c r="D184" s="61"/>
      <c r="E184" s="61"/>
      <c r="F184" s="11"/>
      <c r="G184" s="11"/>
      <c r="H184" s="11"/>
      <c r="I184" s="11"/>
      <c r="J184" s="11"/>
      <c r="K184" s="11"/>
      <c r="L184" s="11"/>
      <c r="M184" s="11"/>
      <c r="N184" s="11"/>
      <c r="O184" s="11"/>
      <c r="P184" s="11"/>
      <c r="Q184" s="11"/>
      <c r="R184" s="11"/>
      <c r="S184" s="49"/>
      <c r="T184" s="11"/>
      <c r="U184" s="11"/>
      <c r="V184" s="11"/>
      <c r="W184" s="11"/>
      <c r="X184" s="11"/>
      <c r="Y184" s="11"/>
    </row>
    <row r="185" spans="3:25" ht="12.75">
      <c r="C185" s="70"/>
      <c r="D185" s="61"/>
      <c r="E185" s="61"/>
      <c r="F185" s="11"/>
      <c r="G185" s="11"/>
      <c r="H185" s="11"/>
      <c r="I185" s="11"/>
      <c r="J185" s="11"/>
      <c r="K185" s="11"/>
      <c r="L185" s="11"/>
      <c r="M185" s="11"/>
      <c r="N185" s="11"/>
      <c r="O185" s="11"/>
      <c r="P185" s="11"/>
      <c r="Q185" s="11"/>
      <c r="R185" s="11"/>
      <c r="S185" s="49"/>
      <c r="T185" s="11"/>
      <c r="U185" s="11"/>
      <c r="V185" s="11"/>
      <c r="W185" s="11"/>
      <c r="X185" s="11"/>
      <c r="Y185" s="11"/>
    </row>
    <row r="186" spans="3:25" ht="12.75">
      <c r="C186" s="70"/>
      <c r="D186" s="61"/>
      <c r="E186" s="61"/>
      <c r="F186" s="11"/>
      <c r="G186" s="11"/>
      <c r="H186" s="11"/>
      <c r="I186" s="11"/>
      <c r="J186" s="11"/>
      <c r="K186" s="11"/>
      <c r="L186" s="11"/>
      <c r="M186" s="11"/>
      <c r="N186" s="11"/>
      <c r="O186" s="11"/>
      <c r="P186" s="11"/>
      <c r="Q186" s="11"/>
      <c r="R186" s="11"/>
      <c r="S186" s="49"/>
      <c r="T186" s="11"/>
      <c r="U186" s="11"/>
      <c r="V186" s="11"/>
      <c r="W186" s="11"/>
      <c r="X186" s="11"/>
      <c r="Y186" s="11"/>
    </row>
    <row r="187" spans="3:25" ht="12.75">
      <c r="C187" s="70"/>
      <c r="D187" s="61"/>
      <c r="E187" s="61"/>
      <c r="F187" s="11"/>
      <c r="G187" s="11"/>
      <c r="H187" s="11"/>
      <c r="I187" s="11"/>
      <c r="J187" s="11"/>
      <c r="K187" s="11"/>
      <c r="L187" s="11"/>
      <c r="M187" s="11"/>
      <c r="N187" s="11"/>
      <c r="O187" s="11"/>
      <c r="P187" s="11"/>
      <c r="Q187" s="11"/>
      <c r="R187" s="11"/>
      <c r="S187" s="49"/>
      <c r="T187" s="11"/>
      <c r="U187" s="11"/>
      <c r="V187" s="11"/>
      <c r="W187" s="11"/>
      <c r="X187" s="11"/>
      <c r="Y187" s="11"/>
    </row>
    <row r="188" spans="3:25" ht="12.75">
      <c r="C188" s="70"/>
      <c r="D188" s="61"/>
      <c r="E188" s="61"/>
      <c r="F188" s="11"/>
      <c r="G188" s="11"/>
      <c r="H188" s="11"/>
      <c r="I188" s="11"/>
      <c r="J188" s="11"/>
      <c r="K188" s="11"/>
      <c r="L188" s="11"/>
      <c r="M188" s="11"/>
      <c r="N188" s="11"/>
      <c r="O188" s="11"/>
      <c r="P188" s="11"/>
      <c r="Q188" s="11"/>
      <c r="R188" s="11"/>
      <c r="S188" s="49"/>
      <c r="T188" s="11"/>
      <c r="U188" s="11"/>
      <c r="V188" s="11"/>
      <c r="W188" s="11"/>
      <c r="X188" s="11"/>
      <c r="Y188" s="11"/>
    </row>
    <row r="189" spans="3:25" ht="12.75">
      <c r="C189" s="61"/>
      <c r="D189" s="61"/>
      <c r="E189" s="61"/>
      <c r="F189" s="11"/>
      <c r="G189" s="11"/>
      <c r="H189" s="11"/>
      <c r="I189" s="11"/>
      <c r="J189" s="11"/>
      <c r="K189" s="11"/>
      <c r="L189" s="11"/>
      <c r="M189" s="11"/>
      <c r="N189" s="11"/>
      <c r="O189" s="11"/>
      <c r="P189" s="11"/>
      <c r="Q189" s="11"/>
      <c r="R189" s="11"/>
      <c r="S189" s="49"/>
      <c r="T189" s="11"/>
      <c r="U189" s="11"/>
      <c r="V189" s="11"/>
      <c r="W189" s="11"/>
      <c r="X189" s="11"/>
      <c r="Y189" s="11"/>
    </row>
    <row r="190" spans="3:25" ht="12.75">
      <c r="C190" s="61"/>
      <c r="D190" s="61"/>
      <c r="E190" s="61"/>
      <c r="F190" s="11"/>
      <c r="G190" s="11"/>
      <c r="H190" s="11"/>
      <c r="I190" s="11"/>
      <c r="J190" s="11"/>
      <c r="K190" s="11"/>
      <c r="L190" s="11"/>
      <c r="M190" s="11"/>
      <c r="N190" s="11"/>
      <c r="O190" s="11"/>
      <c r="P190" s="11"/>
      <c r="Q190" s="11"/>
      <c r="R190" s="11"/>
      <c r="S190" s="49"/>
      <c r="T190" s="11"/>
      <c r="U190" s="11"/>
      <c r="V190" s="11"/>
      <c r="W190" s="11"/>
      <c r="X190" s="11"/>
      <c r="Y190" s="11"/>
    </row>
    <row r="191" spans="3:25" ht="12.75">
      <c r="C191" s="61"/>
      <c r="D191" s="61"/>
      <c r="E191" s="61"/>
      <c r="F191" s="11"/>
      <c r="G191" s="11"/>
      <c r="H191" s="11"/>
      <c r="I191" s="11"/>
      <c r="J191" s="11"/>
      <c r="K191" s="11"/>
      <c r="L191" s="11"/>
      <c r="M191" s="11"/>
      <c r="N191" s="11"/>
      <c r="O191" s="11"/>
      <c r="P191" s="11"/>
      <c r="Q191" s="11"/>
      <c r="R191" s="11"/>
      <c r="S191" s="49"/>
      <c r="T191" s="11"/>
      <c r="U191" s="11"/>
      <c r="V191" s="11"/>
      <c r="W191" s="11"/>
      <c r="X191" s="11"/>
      <c r="Y191" s="11"/>
    </row>
    <row r="192" spans="3:25" ht="12.75">
      <c r="C192" s="61"/>
      <c r="D192" s="61"/>
      <c r="E192" s="61"/>
      <c r="F192" s="11"/>
      <c r="G192" s="11"/>
      <c r="H192" s="11"/>
      <c r="I192" s="11"/>
      <c r="J192" s="11"/>
      <c r="K192" s="11"/>
      <c r="L192" s="11"/>
      <c r="M192" s="11"/>
      <c r="N192" s="11"/>
      <c r="O192" s="11"/>
      <c r="P192" s="11"/>
      <c r="Q192" s="11"/>
      <c r="R192" s="11"/>
      <c r="S192" s="49"/>
      <c r="T192" s="11"/>
      <c r="U192" s="11"/>
      <c r="V192" s="11"/>
      <c r="W192" s="11"/>
      <c r="X192" s="11"/>
      <c r="Y192" s="11"/>
    </row>
    <row r="193" spans="3:25" ht="12.75">
      <c r="C193" s="61"/>
      <c r="D193" s="61"/>
      <c r="E193" s="61"/>
      <c r="F193" s="11"/>
      <c r="G193" s="11"/>
      <c r="H193" s="11"/>
      <c r="I193" s="11"/>
      <c r="J193" s="11"/>
      <c r="K193" s="11"/>
      <c r="L193" s="11"/>
      <c r="M193" s="11"/>
      <c r="N193" s="11"/>
      <c r="O193" s="11"/>
      <c r="P193" s="11"/>
      <c r="Q193" s="11"/>
      <c r="R193" s="11"/>
      <c r="S193" s="49"/>
      <c r="T193" s="11"/>
      <c r="U193" s="11"/>
      <c r="V193" s="11"/>
      <c r="W193" s="11"/>
      <c r="X193" s="11"/>
      <c r="Y193" s="11"/>
    </row>
    <row r="194" spans="3:25" ht="12.75">
      <c r="C194" s="61"/>
      <c r="D194" s="61"/>
      <c r="E194" s="61"/>
      <c r="F194" s="11"/>
      <c r="G194" s="11"/>
      <c r="H194" s="11"/>
      <c r="I194" s="11"/>
      <c r="J194" s="11"/>
      <c r="K194" s="11"/>
      <c r="L194" s="11"/>
      <c r="M194" s="11"/>
      <c r="N194" s="11"/>
      <c r="O194" s="11"/>
      <c r="P194" s="11"/>
      <c r="Q194" s="11"/>
      <c r="R194" s="11"/>
      <c r="S194" s="49"/>
      <c r="T194" s="11"/>
      <c r="U194" s="11"/>
      <c r="V194" s="11"/>
      <c r="W194" s="11"/>
      <c r="X194" s="11"/>
      <c r="Y194" s="11"/>
    </row>
    <row r="195" spans="3:25" ht="12.75">
      <c r="C195" s="61"/>
      <c r="D195" s="61"/>
      <c r="E195" s="61"/>
      <c r="F195" s="11"/>
      <c r="G195" s="11"/>
      <c r="H195" s="11"/>
      <c r="I195" s="11"/>
      <c r="J195" s="11"/>
      <c r="K195" s="11"/>
      <c r="L195" s="11"/>
      <c r="M195" s="11"/>
      <c r="N195" s="11"/>
      <c r="O195" s="11"/>
      <c r="P195" s="11"/>
      <c r="Q195" s="11"/>
      <c r="R195" s="11"/>
      <c r="S195" s="49"/>
      <c r="T195" s="11"/>
      <c r="U195" s="11"/>
      <c r="V195" s="11"/>
      <c r="W195" s="11"/>
      <c r="X195" s="11"/>
      <c r="Y195" s="11"/>
    </row>
    <row r="196" spans="3:25" ht="12.75">
      <c r="C196" s="61"/>
      <c r="D196" s="61"/>
      <c r="E196" s="61"/>
      <c r="F196" s="11"/>
      <c r="G196" s="11"/>
      <c r="H196" s="11"/>
      <c r="I196" s="11"/>
      <c r="J196" s="11"/>
      <c r="K196" s="11"/>
      <c r="L196" s="11"/>
      <c r="M196" s="11"/>
      <c r="N196" s="11"/>
      <c r="O196" s="11"/>
      <c r="P196" s="11"/>
      <c r="Q196" s="11"/>
      <c r="R196" s="11"/>
      <c r="S196" s="49"/>
      <c r="T196" s="11"/>
      <c r="U196" s="11"/>
      <c r="V196" s="11"/>
      <c r="W196" s="11"/>
      <c r="X196" s="11"/>
      <c r="Y196" s="11"/>
    </row>
    <row r="197" spans="3:25" ht="12.75">
      <c r="C197" s="61"/>
      <c r="D197" s="61"/>
      <c r="E197" s="61"/>
      <c r="F197" s="11"/>
      <c r="G197" s="11"/>
      <c r="H197" s="11"/>
      <c r="I197" s="11"/>
      <c r="J197" s="11"/>
      <c r="K197" s="11"/>
      <c r="L197" s="11"/>
      <c r="M197" s="11"/>
      <c r="N197" s="11"/>
      <c r="O197" s="11"/>
      <c r="P197" s="11"/>
      <c r="Q197" s="11"/>
      <c r="R197" s="11"/>
      <c r="S197" s="49"/>
      <c r="T197" s="11"/>
      <c r="U197" s="11"/>
      <c r="V197" s="11"/>
      <c r="W197" s="11"/>
      <c r="X197" s="11"/>
      <c r="Y197" s="11"/>
    </row>
    <row r="198" spans="3:25" ht="12.75">
      <c r="C198" s="61"/>
      <c r="D198" s="61"/>
      <c r="E198" s="61"/>
      <c r="F198" s="11"/>
      <c r="G198" s="11"/>
      <c r="H198" s="11"/>
      <c r="I198" s="11"/>
      <c r="J198" s="11"/>
      <c r="K198" s="11"/>
      <c r="L198" s="11"/>
      <c r="M198" s="11"/>
      <c r="N198" s="11"/>
      <c r="O198" s="11"/>
      <c r="P198" s="11"/>
      <c r="Q198" s="11"/>
      <c r="R198" s="11"/>
      <c r="S198" s="49"/>
      <c r="T198" s="11"/>
      <c r="U198" s="11"/>
      <c r="V198" s="11"/>
      <c r="W198" s="11"/>
      <c r="X198" s="11"/>
      <c r="Y198" s="11"/>
    </row>
    <row r="199" spans="3:25" ht="12.75">
      <c r="C199" s="61"/>
      <c r="D199" s="61"/>
      <c r="E199" s="61"/>
      <c r="F199" s="11"/>
      <c r="G199" s="11"/>
      <c r="H199" s="11"/>
      <c r="I199" s="11"/>
      <c r="J199" s="11"/>
      <c r="K199" s="11"/>
      <c r="L199" s="11"/>
      <c r="M199" s="11"/>
      <c r="N199" s="11"/>
      <c r="O199" s="11"/>
      <c r="P199" s="11"/>
      <c r="Q199" s="11"/>
      <c r="R199" s="11"/>
      <c r="S199" s="49"/>
      <c r="T199" s="11"/>
      <c r="U199" s="11"/>
      <c r="V199" s="11"/>
      <c r="W199" s="11"/>
      <c r="X199" s="11"/>
      <c r="Y199" s="11"/>
    </row>
    <row r="200" spans="3:25" ht="12.75">
      <c r="C200" s="61"/>
      <c r="D200" s="61"/>
      <c r="E200" s="61"/>
      <c r="F200" s="11"/>
      <c r="G200" s="11"/>
      <c r="H200" s="11"/>
      <c r="I200" s="11"/>
      <c r="J200" s="11"/>
      <c r="K200" s="11"/>
      <c r="L200" s="11"/>
      <c r="M200" s="11"/>
      <c r="N200" s="11"/>
      <c r="O200" s="11"/>
      <c r="P200" s="11"/>
      <c r="Q200" s="11"/>
      <c r="R200" s="11"/>
      <c r="S200" s="49"/>
      <c r="T200" s="11"/>
      <c r="U200" s="11"/>
      <c r="V200" s="11"/>
      <c r="W200" s="11"/>
      <c r="X200" s="11"/>
      <c r="Y200" s="11"/>
    </row>
    <row r="201" spans="3:25" ht="12.75">
      <c r="C201" s="61"/>
      <c r="D201" s="61"/>
      <c r="E201" s="61"/>
      <c r="F201" s="11"/>
      <c r="G201" s="11"/>
      <c r="H201" s="11"/>
      <c r="I201" s="11"/>
      <c r="J201" s="11"/>
      <c r="K201" s="11"/>
      <c r="L201" s="11"/>
      <c r="M201" s="11"/>
      <c r="N201" s="11"/>
      <c r="O201" s="11"/>
      <c r="P201" s="11"/>
      <c r="Q201" s="11"/>
      <c r="R201" s="11"/>
      <c r="S201" s="49"/>
      <c r="T201" s="11"/>
      <c r="U201" s="11"/>
      <c r="V201" s="11"/>
      <c r="W201" s="11"/>
      <c r="X201" s="11"/>
      <c r="Y201" s="11"/>
    </row>
    <row r="202" spans="3:25" ht="12.75">
      <c r="C202" s="61"/>
      <c r="D202" s="61"/>
      <c r="E202" s="61"/>
      <c r="F202" s="11"/>
      <c r="G202" s="11"/>
      <c r="H202" s="11"/>
      <c r="I202" s="11"/>
      <c r="J202" s="11"/>
      <c r="K202" s="11"/>
      <c r="L202" s="11"/>
      <c r="M202" s="11"/>
      <c r="N202" s="11"/>
      <c r="O202" s="11"/>
      <c r="P202" s="11"/>
      <c r="Q202" s="11"/>
      <c r="R202" s="11"/>
      <c r="S202" s="49"/>
      <c r="T202" s="11"/>
      <c r="U202" s="11"/>
      <c r="V202" s="11"/>
      <c r="W202" s="11"/>
      <c r="X202" s="11"/>
      <c r="Y202" s="11"/>
    </row>
    <row r="203" spans="3:25" ht="12.75">
      <c r="C203" s="61"/>
      <c r="D203" s="61"/>
      <c r="E203" s="61"/>
      <c r="F203" s="11"/>
      <c r="G203" s="11"/>
      <c r="H203" s="11"/>
      <c r="I203" s="11"/>
      <c r="J203" s="11"/>
      <c r="K203" s="11"/>
      <c r="L203" s="11"/>
      <c r="M203" s="11"/>
      <c r="N203" s="11"/>
      <c r="O203" s="11"/>
      <c r="P203" s="11"/>
      <c r="Q203" s="11"/>
      <c r="R203" s="11"/>
      <c r="S203" s="49"/>
      <c r="T203" s="11"/>
      <c r="U203" s="11"/>
      <c r="V203" s="11"/>
      <c r="W203" s="11"/>
      <c r="X203" s="11"/>
      <c r="Y203" s="11"/>
    </row>
    <row r="204" spans="3:25" ht="12.75">
      <c r="C204" s="61"/>
      <c r="D204" s="61"/>
      <c r="E204" s="61"/>
      <c r="F204" s="11"/>
      <c r="G204" s="11"/>
      <c r="H204" s="11"/>
      <c r="I204" s="11"/>
      <c r="J204" s="11"/>
      <c r="K204" s="11"/>
      <c r="L204" s="11"/>
      <c r="M204" s="11"/>
      <c r="N204" s="11"/>
      <c r="O204" s="11"/>
      <c r="P204" s="11"/>
      <c r="Q204" s="11"/>
      <c r="R204" s="11"/>
      <c r="S204" s="49"/>
      <c r="T204" s="11"/>
      <c r="U204" s="11"/>
      <c r="V204" s="11"/>
      <c r="W204" s="11"/>
      <c r="X204" s="11"/>
      <c r="Y204" s="11"/>
    </row>
    <row r="205" spans="3:25" ht="12.75">
      <c r="C205" s="61"/>
      <c r="D205" s="61"/>
      <c r="E205" s="61"/>
      <c r="F205" s="11"/>
      <c r="G205" s="11"/>
      <c r="H205" s="11"/>
      <c r="I205" s="11"/>
      <c r="J205" s="11"/>
      <c r="K205" s="11"/>
      <c r="L205" s="11"/>
      <c r="M205" s="11"/>
      <c r="N205" s="11"/>
      <c r="O205" s="11"/>
      <c r="P205" s="11"/>
      <c r="Q205" s="11"/>
      <c r="R205" s="11"/>
      <c r="S205" s="49"/>
      <c r="T205" s="11"/>
      <c r="U205" s="11"/>
      <c r="V205" s="11"/>
      <c r="W205" s="11"/>
      <c r="X205" s="11"/>
      <c r="Y205" s="11"/>
    </row>
    <row r="206" spans="3:5" ht="12.75">
      <c r="C206" s="70"/>
      <c r="D206" s="70"/>
      <c r="E206" s="70"/>
    </row>
    <row r="207" spans="3:5" ht="12.75">
      <c r="C207" s="70"/>
      <c r="D207" s="70"/>
      <c r="E207" s="70"/>
    </row>
    <row r="208" spans="3:5" ht="12.75">
      <c r="C208" s="70"/>
      <c r="D208" s="70"/>
      <c r="E208" s="70"/>
    </row>
    <row r="209" spans="3:5" ht="12.75">
      <c r="C209" s="70"/>
      <c r="D209" s="70"/>
      <c r="E209" s="70"/>
    </row>
    <row r="210" spans="3:5" ht="12.75">
      <c r="C210" s="70"/>
      <c r="D210" s="70"/>
      <c r="E210" s="70"/>
    </row>
    <row r="211" spans="3:5" ht="12.75">
      <c r="C211" s="70"/>
      <c r="D211" s="70"/>
      <c r="E211" s="70"/>
    </row>
    <row r="212" spans="3:5" ht="12.75">
      <c r="C212" s="70"/>
      <c r="D212" s="70"/>
      <c r="E212" s="70"/>
    </row>
    <row r="213" spans="3:5" ht="12.75">
      <c r="C213" s="70"/>
      <c r="D213" s="70"/>
      <c r="E213" s="70"/>
    </row>
    <row r="214" spans="3:5" ht="12.75">
      <c r="C214" s="70"/>
      <c r="D214" s="70"/>
      <c r="E214" s="70"/>
    </row>
    <row r="215" spans="3:5" ht="12.75">
      <c r="C215" s="70"/>
      <c r="D215" s="70"/>
      <c r="E215" s="70"/>
    </row>
    <row r="216" spans="3:5" ht="12.75">
      <c r="C216" s="70"/>
      <c r="D216" s="70"/>
      <c r="E216" s="70"/>
    </row>
    <row r="217" spans="3:5" ht="12.75">
      <c r="C217" s="70"/>
      <c r="D217" s="70"/>
      <c r="E217" s="70"/>
    </row>
    <row r="218" spans="3:5" ht="12.75">
      <c r="C218" s="70"/>
      <c r="D218" s="70"/>
      <c r="E218" s="70"/>
    </row>
    <row r="219" spans="3:5" ht="12.75">
      <c r="C219" s="70"/>
      <c r="D219" s="70"/>
      <c r="E219" s="70"/>
    </row>
    <row r="220" spans="3:5" ht="12.75">
      <c r="C220" s="70"/>
      <c r="D220" s="70"/>
      <c r="E220" s="70"/>
    </row>
    <row r="221" spans="3:5" ht="12.75">
      <c r="C221" s="70"/>
      <c r="D221" s="70"/>
      <c r="E221" s="70"/>
    </row>
    <row r="222" spans="3:5" ht="12.75">
      <c r="C222" s="70"/>
      <c r="D222" s="70"/>
      <c r="E222" s="70"/>
    </row>
    <row r="223" spans="3:5" ht="12.75">
      <c r="C223" s="70"/>
      <c r="D223" s="70"/>
      <c r="E223" s="70"/>
    </row>
  </sheetData>
  <sheetProtection sheet="1"/>
  <mergeCells count="7">
    <mergeCell ref="C1:D3"/>
    <mergeCell ref="M4:R4"/>
    <mergeCell ref="F4:H4"/>
    <mergeCell ref="I4:L4"/>
    <mergeCell ref="C4:C6"/>
    <mergeCell ref="D4:D6"/>
    <mergeCell ref="E4:E6"/>
  </mergeCells>
  <hyperlinks>
    <hyperlink ref="D123" r:id="rId1" display="http://www.actahort.org/books/435/435_5.htm"/>
    <hyperlink ref="D124" r:id="rId2" display="http://www.actahort.org/books/435/435_5.htm"/>
    <hyperlink ref="D125" r:id="rId3" display="http://www.actahort.org/books/272/272_35.htm"/>
    <hyperlink ref="D128" r:id="rId4" display="http://journal.ashspublications.org/cgi/content/abstract/115/4/644"/>
    <hyperlink ref="D129" r:id="rId5" display="http://www.horticulture.umn.edu/Who_sWho/Faculty/JohnErwin/index.htm"/>
    <hyperlink ref="D130" r:id="rId6" display="http://journal.ashspublications.org/cgi/content/abstract/118/6/747"/>
    <hyperlink ref="D131" r:id="rId7" display="http://search.proquest.com.proxy2.cl.msu.edu/docview/304521370"/>
    <hyperlink ref="D132" r:id="rId8" display="http://www.actahort.org/books/624/624_25.htm"/>
    <hyperlink ref="D133" r:id="rId9" display="http://journal.ashspublications.org/cgi/content/abstract/132/3/283"/>
    <hyperlink ref="D134" r:id="rId10" display="http://hortsci.ashspublications.org/cgi/content/abstract/36/4/664"/>
    <hyperlink ref="D135" r:id="rId11" display="http://dx.doi.org/10.1016/0304-4238(96)00904-1"/>
    <hyperlink ref="D136" r:id="rId12" display="http://journal.ashspublications.org/cgi/content/abstract/130/6/813"/>
    <hyperlink ref="D137" r:id="rId13" display="http://www.lib.msu.edu"/>
    <hyperlink ref="D139" r:id="rId14" display="http://onlinelibrary.wiley.com/doi/10.1111/j.1744-7348.1999.tb05273.x/abstract"/>
    <hyperlink ref="D140" r:id="rId15" display="http://hortsci.ashspublications.org/cgi/content/abstract/33/4/663"/>
    <hyperlink ref="D126" r:id="rId16" display="http://search.proquest.com.proxy1.cl.msu.edu/docview/304932491"/>
  </hyperlinks>
  <printOptions/>
  <pageMargins left="1.17" right="0.42" top="0.99" bottom="0.87" header="0.5" footer="0.5"/>
  <pageSetup fitToHeight="4" fitToWidth="1" horizontalDpi="600" verticalDpi="600" orientation="landscape" scale="52" r:id="rId18"/>
  <headerFooter alignWithMargins="0">
    <oddHeader>&amp;CCrop Scheduling Review
M. Blanchard, E. Runkle, P. Fisher, J. Erwin.
&amp;RFloriculture Research Alliance
www.floriculturealliance.org</oddHeader>
  </headerFooter>
  <rowBreaks count="1" manualBreakCount="1">
    <brk id="95" max="255" man="1"/>
  </rowBreaks>
  <drawing r:id="rId17"/>
</worksheet>
</file>

<file path=xl/worksheets/sheet4.xml><?xml version="1.0" encoding="utf-8"?>
<worksheet xmlns="http://schemas.openxmlformats.org/spreadsheetml/2006/main" xmlns:r="http://schemas.openxmlformats.org/officeDocument/2006/relationships">
  <sheetPr codeName="Sheet4"/>
  <dimension ref="A2:AA61"/>
  <sheetViews>
    <sheetView zoomScalePageLayoutView="0" workbookViewId="0" topLeftCell="A1">
      <selection activeCell="B10" sqref="B10"/>
    </sheetView>
  </sheetViews>
  <sheetFormatPr defaultColWidth="9.140625" defaultRowHeight="12.75"/>
  <cols>
    <col min="1" max="1" width="67.421875" style="1" customWidth="1"/>
    <col min="2" max="2" width="25.00390625" style="1" customWidth="1"/>
    <col min="3" max="3" width="21.421875" style="1" customWidth="1"/>
    <col min="4" max="4" width="23.140625" style="1" customWidth="1"/>
    <col min="5" max="8" width="9.140625" style="1" customWidth="1"/>
    <col min="9" max="9" width="29.140625" style="1" customWidth="1"/>
    <col min="10" max="10" width="23.421875" style="1" customWidth="1"/>
    <col min="11" max="11" width="23.00390625" style="1" customWidth="1"/>
    <col min="12" max="12" width="16.7109375" style="1" customWidth="1"/>
    <col min="13" max="26" width="9.140625" style="1" customWidth="1"/>
    <col min="27" max="16384" width="9.140625" style="1" customWidth="1"/>
  </cols>
  <sheetData>
    <row r="2" spans="2:4" ht="15">
      <c r="B2" s="90"/>
      <c r="C2" s="90"/>
      <c r="D2" s="92" t="str">
        <f>TemperatureUnits</f>
        <v>C</v>
      </c>
    </row>
    <row r="3" spans="2:4" ht="15">
      <c r="B3" s="90" t="s">
        <v>27</v>
      </c>
      <c r="C3" s="90"/>
      <c r="D3" s="91">
        <f>IF(TemperatureUnits="C",BaseC,BaseF)</f>
        <v>5.2</v>
      </c>
    </row>
    <row r="4" spans="2:4" ht="15">
      <c r="B4" s="90" t="s">
        <v>28</v>
      </c>
      <c r="C4" s="90"/>
      <c r="D4" s="92">
        <f>IF(TemperatureUnits="C",DegreeDaysC,DegreeDaysF)</f>
        <v>896</v>
      </c>
    </row>
    <row r="6" spans="2:3" ht="12.75">
      <c r="B6" s="93" t="s">
        <v>26</v>
      </c>
      <c r="C6" s="94" t="str">
        <f>LEFT(UPPER(Model!D9),1)</f>
        <v>C</v>
      </c>
    </row>
    <row r="7" spans="2:27" ht="12.75">
      <c r="B7" s="93" t="s">
        <v>175</v>
      </c>
      <c r="C7" s="95">
        <f>MAX(IF(TemperatureUnits="F",CONVERT(Model!D8,"F","C"),Model!D8),MinTempC)</f>
        <v>18</v>
      </c>
      <c r="I7" s="111"/>
      <c r="J7" s="111"/>
      <c r="K7" s="111"/>
      <c r="L7" s="111"/>
      <c r="M7" s="111" t="s">
        <v>165</v>
      </c>
      <c r="N7" s="111"/>
      <c r="O7" s="111"/>
      <c r="P7" s="111" t="s">
        <v>166</v>
      </c>
      <c r="Q7" s="111"/>
      <c r="R7" s="111"/>
      <c r="S7" s="111"/>
      <c r="T7" s="111"/>
      <c r="U7" s="111"/>
      <c r="V7" s="111"/>
      <c r="W7" s="111"/>
      <c r="X7" s="111"/>
      <c r="Y7" s="111"/>
      <c r="Z7" s="111"/>
      <c r="AA7" s="96"/>
    </row>
    <row r="8" spans="2:27" ht="12.75">
      <c r="B8" s="93" t="s">
        <v>176</v>
      </c>
      <c r="C8" s="95">
        <f>IF(Topt&lt;&gt;"M",C7,MIN(C7,Topt))</f>
        <v>18</v>
      </c>
      <c r="D8" s="93"/>
      <c r="E8" s="97" t="s">
        <v>32</v>
      </c>
      <c r="F8" s="97" t="s">
        <v>33</v>
      </c>
      <c r="I8" s="111">
        <v>1</v>
      </c>
      <c r="J8" s="111">
        <v>2</v>
      </c>
      <c r="K8" s="111">
        <v>3</v>
      </c>
      <c r="L8" s="111">
        <v>4</v>
      </c>
      <c r="M8" s="111">
        <v>5</v>
      </c>
      <c r="N8" s="111">
        <v>6</v>
      </c>
      <c r="O8" s="111">
        <v>7</v>
      </c>
      <c r="P8" s="111">
        <v>8</v>
      </c>
      <c r="Q8" s="111">
        <v>9</v>
      </c>
      <c r="R8" s="111">
        <v>10</v>
      </c>
      <c r="S8" s="111">
        <v>11</v>
      </c>
      <c r="T8" s="111">
        <v>12</v>
      </c>
      <c r="U8" s="111">
        <v>13</v>
      </c>
      <c r="V8" s="111">
        <v>14</v>
      </c>
      <c r="W8" s="111">
        <v>15</v>
      </c>
      <c r="X8" s="111">
        <v>16</v>
      </c>
      <c r="Y8" s="111">
        <v>17</v>
      </c>
      <c r="Z8" s="111">
        <v>18</v>
      </c>
      <c r="AA8" s="96"/>
    </row>
    <row r="9" spans="2:27" ht="12.75">
      <c r="B9" s="93" t="s">
        <v>31</v>
      </c>
      <c r="C9" s="94">
        <f>T10</f>
        <v>4.5</v>
      </c>
      <c r="D9" s="93">
        <f>CONVERT(C9,"C","F")</f>
        <v>40.1</v>
      </c>
      <c r="E9" s="93">
        <f>IF(TemperatureUnits="F",50,10)</f>
        <v>10</v>
      </c>
      <c r="F9" s="98">
        <f>C17</f>
        <v>14.66666666666667</v>
      </c>
      <c r="I9" s="93"/>
      <c r="J9" s="111" t="str">
        <f>'Literature Database'!C4</f>
        <v>Species list</v>
      </c>
      <c r="K9" s="111" t="str">
        <f>'Literature Database'!D4</f>
        <v>Cultivar</v>
      </c>
      <c r="L9" s="111" t="s">
        <v>164</v>
      </c>
      <c r="M9" s="111" t="s">
        <v>50</v>
      </c>
      <c r="N9" s="111" t="s">
        <v>48</v>
      </c>
      <c r="O9" s="111" t="s">
        <v>45</v>
      </c>
      <c r="P9" s="111" t="s">
        <v>50</v>
      </c>
      <c r="Q9" s="111" t="s">
        <v>48</v>
      </c>
      <c r="R9" s="111" t="s">
        <v>45</v>
      </c>
      <c r="S9" s="111" t="s">
        <v>51</v>
      </c>
      <c r="T9" s="111" t="s">
        <v>52</v>
      </c>
      <c r="U9" s="111" t="s">
        <v>53</v>
      </c>
      <c r="V9" s="111" t="s">
        <v>54</v>
      </c>
      <c r="W9" s="111" t="s">
        <v>55</v>
      </c>
      <c r="X9" s="111" t="s">
        <v>59</v>
      </c>
      <c r="Y9" s="111" t="s">
        <v>57</v>
      </c>
      <c r="Z9" s="111" t="s">
        <v>161</v>
      </c>
      <c r="AA9" s="96"/>
    </row>
    <row r="10" spans="2:27" ht="12.75">
      <c r="B10" s="93" t="s">
        <v>29</v>
      </c>
      <c r="C10" s="94">
        <f>U10</f>
        <v>35</v>
      </c>
      <c r="D10" s="93">
        <f>CONVERT(C10,"C","F")</f>
        <v>95</v>
      </c>
      <c r="E10" s="93">
        <f>IF(TemperatureUnits="F",90,32)</f>
        <v>32</v>
      </c>
      <c r="F10" s="98">
        <f>C21</f>
        <v>21.333333333333336</v>
      </c>
      <c r="I10" s="111" t="str">
        <f>VLOOKUP(SpeciesName,'Literature Database'!$B$7:$S$94,I8,FALSE)</f>
        <v>Rose: Cara Mia, Kardinal, Sonia, Royalty</v>
      </c>
      <c r="J10" s="111" t="str">
        <f>VLOOKUP(SpeciesName,'Literature Database'!$B$7:$S$94,J8,FALSE)</f>
        <v>Rose</v>
      </c>
      <c r="K10" s="111" t="str">
        <f>VLOOKUP(SpeciesName,'Literature Database'!$B$7:$S$94,K8,FALSE)</f>
        <v>Cara Mia, Kardinal, Sonia, Royalty</v>
      </c>
      <c r="L10" s="111" t="str">
        <f>VLOOKUP(SpeciesName,'Literature Database'!$B$7:$S$94,L8,FALSE)</f>
        <v>L</v>
      </c>
      <c r="M10" s="111">
        <f>VLOOKUP(SpeciesName,'Literature Database'!$B$7:$S$94,M8,FALSE)</f>
        <v>5.2</v>
      </c>
      <c r="N10" s="111">
        <f>VLOOKUP(SpeciesName,'Literature Database'!$B$7:$S$94,N8,FALSE)</f>
        <v>0</v>
      </c>
      <c r="O10" s="111">
        <f>VLOOKUP(SpeciesName,'Literature Database'!$B$7:$S$94,O8,FALSE)</f>
        <v>0</v>
      </c>
      <c r="P10" s="111">
        <f>VLOOKUP(SpeciesName,'Literature Database'!$B$7:$S$94,P8,FALSE)</f>
        <v>0</v>
      </c>
      <c r="Q10" s="111">
        <f>VLOOKUP(SpeciesName,'Literature Database'!$B$7:$S$94,Q8,FALSE)</f>
        <v>0</v>
      </c>
      <c r="R10" s="111">
        <f>VLOOKUP(SpeciesName,'Literature Database'!$B$7:$S$94,R8,FALSE)</f>
        <v>0</v>
      </c>
      <c r="S10" s="111">
        <f>VLOOKUP(SpeciesName,'Literature Database'!$B$7:$S$94,S8,FALSE)</f>
        <v>0</v>
      </c>
      <c r="T10" s="111">
        <f>VLOOKUP(SpeciesName,'Literature Database'!$B$7:$S$94,T8,FALSE)</f>
        <v>4.5</v>
      </c>
      <c r="U10" s="111">
        <f>VLOOKUP(SpeciesName,'Literature Database'!$B$7:$S$94,U8,FALSE)</f>
        <v>35</v>
      </c>
      <c r="V10" s="111" t="str">
        <f>VLOOKUP(SpeciesName,'Literature Database'!$B$7:$S$94,V8,FALSE)</f>
        <v>5 to 60</v>
      </c>
      <c r="W10" s="111" t="str">
        <f>VLOOKUP(SpeciesName,'Literature Database'!$B$7:$S$94,W8,FALSE)</f>
        <v>variable</v>
      </c>
      <c r="X10" s="111" t="str">
        <f>VLOOKUP(SpeciesName,'Literature Database'!$B$7:$S$94,X8,FALSE)</f>
        <v>G</v>
      </c>
      <c r="Y10" s="111" t="str">
        <f>VLOOKUP(SpeciesName,'Literature Database'!$B$7:$S$94,Y8,FALSE)</f>
        <v>A</v>
      </c>
      <c r="Z10" s="111" t="str">
        <f>VLOOKUP(SpeciesName,'Literature Database'!$B$7:$S$94,Z8,FALSE)</f>
        <v>Pasian and Lieth, 1994</v>
      </c>
      <c r="AA10" s="96" t="str">
        <f>VLOOKUP(Z10,CitationList,3,FALSE)</f>
        <v>Pasian, C.C. and Lieth, J.H., 1994. Prediction of flowering rose shoot development based on air temperature and thermal units. Sci. Hort. 59: 131-145.</v>
      </c>
    </row>
    <row r="11" spans="2:26" ht="12.75">
      <c r="B11" s="93" t="s">
        <v>30</v>
      </c>
      <c r="C11" s="94">
        <f>IF(TemperatureUnits="C",C10,CONVERT(C10,"C","F"))</f>
        <v>35</v>
      </c>
      <c r="I11" s="93"/>
      <c r="J11" s="93"/>
      <c r="K11" s="93"/>
      <c r="L11" s="93"/>
      <c r="M11" s="93"/>
      <c r="N11" s="93"/>
      <c r="O11" s="93"/>
      <c r="P11" s="93"/>
      <c r="Q11" s="93"/>
      <c r="R11" s="93"/>
      <c r="S11" s="93"/>
      <c r="T11" s="93"/>
      <c r="U11" s="93"/>
      <c r="V11" s="93"/>
      <c r="W11" s="93"/>
      <c r="X11" s="93"/>
      <c r="Y11" s="93"/>
      <c r="Z11" s="93"/>
    </row>
    <row r="12" spans="2:26" ht="12.75">
      <c r="B12" s="93" t="s">
        <v>27</v>
      </c>
      <c r="C12" s="95">
        <f>M10</f>
        <v>5.2</v>
      </c>
      <c r="D12" s="99">
        <f>CONVERT(BaseC,"C","F")</f>
        <v>41.36</v>
      </c>
      <c r="I12" s="93"/>
      <c r="J12" s="93" t="s">
        <v>0</v>
      </c>
      <c r="K12" s="93"/>
      <c r="L12" s="93"/>
      <c r="M12" s="93"/>
      <c r="N12" s="93"/>
      <c r="O12" s="93"/>
      <c r="P12" s="93"/>
      <c r="Q12" s="93"/>
      <c r="R12" s="93"/>
      <c r="S12" s="93"/>
      <c r="T12" s="93"/>
      <c r="U12" s="93"/>
      <c r="V12" s="93"/>
      <c r="W12" s="93"/>
      <c r="X12" s="93"/>
      <c r="Y12" s="93"/>
      <c r="Z12" s="93"/>
    </row>
    <row r="13" spans="2:26" ht="12.75">
      <c r="B13" s="93" t="s">
        <v>28</v>
      </c>
      <c r="C13" s="95">
        <f>(TemperatureC-BaseC)*ProductionDays</f>
        <v>896</v>
      </c>
      <c r="D13" s="95">
        <f>(CONVERT(TemperatureC,"C","F")-BaseF)*ProductionDays</f>
        <v>1612.8000000000004</v>
      </c>
      <c r="I13" s="93"/>
      <c r="J13" s="93" t="s">
        <v>25</v>
      </c>
      <c r="K13" s="93"/>
      <c r="L13" s="93"/>
      <c r="M13" s="93"/>
      <c r="N13" s="93"/>
      <c r="O13" s="93"/>
      <c r="P13" s="93"/>
      <c r="Q13" s="93"/>
      <c r="R13" s="93"/>
      <c r="S13" s="93"/>
      <c r="T13" s="93"/>
      <c r="U13" s="93"/>
      <c r="V13" s="93"/>
      <c r="W13" s="93"/>
      <c r="X13" s="93"/>
      <c r="Y13" s="93"/>
      <c r="Z13" s="93"/>
    </row>
    <row r="14" ht="12.75">
      <c r="G14" s="1" t="str">
        <f>CONCATENATE("Temperature (",TemperatureUnits,")")</f>
        <v>Temperature (C)</v>
      </c>
    </row>
    <row r="15" spans="2:7" ht="12.75">
      <c r="B15" s="93" t="s">
        <v>167</v>
      </c>
      <c r="C15" s="108">
        <f>T10</f>
        <v>4.5</v>
      </c>
      <c r="D15" s="109" t="s">
        <v>25</v>
      </c>
      <c r="G15" s="101">
        <f>IF(TemperatureUnits="F",Model!B16,Model!C16)</f>
        <v>14.66666666666667</v>
      </c>
    </row>
    <row r="16" spans="2:7" ht="12.75">
      <c r="B16" s="93" t="s">
        <v>168</v>
      </c>
      <c r="C16" s="108">
        <f>Model!C16</f>
        <v>14.66666666666667</v>
      </c>
      <c r="D16" s="109" t="s">
        <v>0</v>
      </c>
      <c r="G16" s="101">
        <f>IF(TemperatureUnits="F",Model!B17,Model!C17)</f>
        <v>15.77777777777778</v>
      </c>
    </row>
    <row r="17" spans="2:7" ht="12.75">
      <c r="B17" s="93" t="s">
        <v>169</v>
      </c>
      <c r="C17" s="108">
        <f>MAX(C15:C16)</f>
        <v>14.66666666666667</v>
      </c>
      <c r="D17" s="93"/>
      <c r="G17" s="101">
        <f>IF(TemperatureUnits="F",Model!B18,Model!C18)</f>
        <v>16.888888888888893</v>
      </c>
    </row>
    <row r="18" spans="2:7" ht="12.75">
      <c r="B18" s="93"/>
      <c r="C18" s="108"/>
      <c r="D18" s="93"/>
      <c r="G18" s="101">
        <f>IF(TemperatureUnits="F",Model!B19,Model!C19)</f>
        <v>18.000000000000004</v>
      </c>
    </row>
    <row r="19" spans="2:7" ht="12.75">
      <c r="B19" s="93" t="s">
        <v>170</v>
      </c>
      <c r="C19" s="108">
        <f>U10</f>
        <v>35</v>
      </c>
      <c r="D19" s="93"/>
      <c r="G19" s="101">
        <f>IF(TemperatureUnits="F",Model!B20,Model!C20)</f>
        <v>19.111111111111114</v>
      </c>
    </row>
    <row r="20" spans="2:7" ht="12.75">
      <c r="B20" s="93" t="s">
        <v>171</v>
      </c>
      <c r="C20" s="108">
        <f>Model!C22</f>
        <v>21.333333333333336</v>
      </c>
      <c r="D20" s="93"/>
      <c r="G20" s="101">
        <f>IF(TemperatureUnits="F",Model!B21,Model!C21)</f>
        <v>20.222222222222225</v>
      </c>
    </row>
    <row r="21" spans="2:7" ht="12.75">
      <c r="B21" s="93" t="s">
        <v>172</v>
      </c>
      <c r="C21" s="108">
        <f>MIN(C19:C20)</f>
        <v>21.333333333333336</v>
      </c>
      <c r="D21" s="93"/>
      <c r="G21" s="101">
        <f>IF(TemperatureUnits="F",Model!B22,Model!C22)</f>
        <v>21.333333333333336</v>
      </c>
    </row>
    <row r="22" spans="2:4" ht="12.75">
      <c r="B22" s="93"/>
      <c r="C22" s="93"/>
      <c r="D22" s="93"/>
    </row>
    <row r="23" spans="2:4" ht="12.75">
      <c r="B23" s="93" t="s">
        <v>48</v>
      </c>
      <c r="C23" s="93" t="str">
        <f>IF(ModelType="L",IF(N10=0,"M",N10),LTopt)</f>
        <v>M</v>
      </c>
      <c r="D23" s="93"/>
    </row>
    <row r="24" spans="2:6" ht="12.75">
      <c r="B24" s="93"/>
      <c r="C24" s="93"/>
      <c r="D24" s="93"/>
      <c r="F24" s="102"/>
    </row>
    <row r="25" spans="2:4" ht="12.75">
      <c r="B25" s="109" t="s">
        <v>203</v>
      </c>
      <c r="C25" s="93">
        <f>IF(TemperatureUnits="F",BaseF,BaseC)</f>
        <v>5.2</v>
      </c>
      <c r="D25" s="93"/>
    </row>
    <row r="26" spans="2:4" ht="12.75">
      <c r="B26" s="109" t="s">
        <v>204</v>
      </c>
      <c r="C26" s="93" t="str">
        <f>IF(Topt&lt;&gt;"M",IF(TemperatureUnits="F",CONVERT(Topt,"C","F"),Topt),"N/A")</f>
        <v>N/A</v>
      </c>
      <c r="D26" s="93"/>
    </row>
    <row r="31" spans="2:5" ht="15">
      <c r="B31" s="191" t="s">
        <v>35</v>
      </c>
      <c r="C31" s="192"/>
      <c r="D31" s="193"/>
      <c r="E31" s="93"/>
    </row>
    <row r="32" spans="2:5" ht="15">
      <c r="B32" s="103" t="s">
        <v>173</v>
      </c>
      <c r="C32" s="104"/>
      <c r="D32" s="104" t="s">
        <v>177</v>
      </c>
      <c r="E32" s="93"/>
    </row>
    <row r="33" spans="2:5" ht="15">
      <c r="B33" s="105">
        <f aca="true" t="shared" si="0" ref="B33:B39">IF(TemperatureUnits="C",G15,CONVERT(G15,"F","C"))</f>
        <v>14.66666666666667</v>
      </c>
      <c r="C33" s="106"/>
      <c r="D33" s="106">
        <f aca="true" t="shared" si="1" ref="D33:D40">IF(B33&lt;=BaseC,0,MAX(IF(ModelType="L",D42,D51),0))</f>
        <v>94.64788732394365</v>
      </c>
      <c r="E33" s="95" t="b">
        <f>IF(OR(B33&lt;$C$15,B33&gt;$C$19),D33)</f>
        <v>0</v>
      </c>
    </row>
    <row r="34" spans="2:5" ht="15">
      <c r="B34" s="105">
        <f t="shared" si="0"/>
        <v>15.77777777777778</v>
      </c>
      <c r="C34" s="106"/>
      <c r="D34" s="106">
        <f t="shared" si="1"/>
        <v>84.70588235294116</v>
      </c>
      <c r="E34" s="93" t="b">
        <f aca="true" t="shared" si="2" ref="E34:E39">IF(OR(B34&lt;$C$15,B34&gt;$C$19),D34)</f>
        <v>0</v>
      </c>
    </row>
    <row r="35" spans="2:5" ht="15">
      <c r="B35" s="105">
        <f t="shared" si="0"/>
        <v>16.888888888888893</v>
      </c>
      <c r="C35" s="106"/>
      <c r="D35" s="106">
        <f t="shared" si="1"/>
        <v>76.65399239543723</v>
      </c>
      <c r="E35" s="93" t="b">
        <f t="shared" si="2"/>
        <v>0</v>
      </c>
    </row>
    <row r="36" spans="2:8" ht="15">
      <c r="B36" s="105">
        <f t="shared" si="0"/>
        <v>18.000000000000004</v>
      </c>
      <c r="C36" s="106"/>
      <c r="D36" s="106">
        <f t="shared" si="1"/>
        <v>69.99999999999997</v>
      </c>
      <c r="E36" s="93" t="b">
        <f t="shared" si="2"/>
        <v>0</v>
      </c>
      <c r="G36" s="100">
        <f>B36</f>
        <v>18.000000000000004</v>
      </c>
      <c r="H36" s="102">
        <f>C36</f>
        <v>0</v>
      </c>
    </row>
    <row r="37" spans="2:5" ht="15">
      <c r="B37" s="105">
        <f t="shared" si="0"/>
        <v>19.111111111111114</v>
      </c>
      <c r="C37" s="106"/>
      <c r="D37" s="106">
        <f t="shared" si="1"/>
        <v>64.40894568690094</v>
      </c>
      <c r="E37" s="93" t="b">
        <f t="shared" si="2"/>
        <v>0</v>
      </c>
    </row>
    <row r="38" spans="2:5" ht="15">
      <c r="B38" s="105">
        <f t="shared" si="0"/>
        <v>20.222222222222225</v>
      </c>
      <c r="C38" s="106"/>
      <c r="D38" s="106">
        <f t="shared" si="1"/>
        <v>59.64497041420117</v>
      </c>
      <c r="E38" s="93" t="b">
        <f t="shared" si="2"/>
        <v>0</v>
      </c>
    </row>
    <row r="39" spans="2:5" ht="15">
      <c r="B39" s="105">
        <f t="shared" si="0"/>
        <v>21.333333333333336</v>
      </c>
      <c r="C39" s="106"/>
      <c r="D39" s="106">
        <f t="shared" si="1"/>
        <v>55.53719008264462</v>
      </c>
      <c r="E39" s="93" t="b">
        <f t="shared" si="2"/>
        <v>0</v>
      </c>
    </row>
    <row r="40" spans="2:5" ht="15">
      <c r="B40" s="105" t="str">
        <f>Topt</f>
        <v>M</v>
      </c>
      <c r="C40" s="93"/>
      <c r="D40" s="106" t="e">
        <f t="shared" si="1"/>
        <v>#VALUE!</v>
      </c>
      <c r="E40" s="93"/>
    </row>
    <row r="41" spans="2:4" ht="12.75">
      <c r="B41" s="93"/>
      <c r="C41" s="94" t="s">
        <v>165</v>
      </c>
      <c r="D41" s="93" t="s">
        <v>186</v>
      </c>
    </row>
    <row r="42" spans="2:4" ht="12.75">
      <c r="B42" s="99">
        <f aca="true" t="shared" si="3" ref="B42:B49">B33</f>
        <v>14.66666666666667</v>
      </c>
      <c r="C42" s="95">
        <f aca="true" t="shared" si="4" ref="C42:C49">IF(OR(B33&lt;=BaseC,B33&lt;=0),0,DegreeDaysC/(B33-BaseC))</f>
        <v>94.64788732394365</v>
      </c>
      <c r="D42" s="95">
        <f aca="true" t="shared" si="5" ref="D42:D49">MAX(IF(B42&gt;Topt,$C$49,C42),0)</f>
        <v>94.64788732394365</v>
      </c>
    </row>
    <row r="43" spans="2:4" ht="12.75">
      <c r="B43" s="99">
        <f t="shared" si="3"/>
        <v>15.77777777777778</v>
      </c>
      <c r="C43" s="95">
        <f t="shared" si="4"/>
        <v>84.70588235294116</v>
      </c>
      <c r="D43" s="95">
        <f t="shared" si="5"/>
        <v>84.70588235294116</v>
      </c>
    </row>
    <row r="44" spans="2:4" ht="12.75">
      <c r="B44" s="99">
        <f t="shared" si="3"/>
        <v>16.888888888888893</v>
      </c>
      <c r="C44" s="95">
        <f t="shared" si="4"/>
        <v>76.65399239543723</v>
      </c>
      <c r="D44" s="95">
        <f t="shared" si="5"/>
        <v>76.65399239543723</v>
      </c>
    </row>
    <row r="45" spans="2:4" ht="12.75">
      <c r="B45" s="99">
        <f t="shared" si="3"/>
        <v>18.000000000000004</v>
      </c>
      <c r="C45" s="95">
        <f t="shared" si="4"/>
        <v>69.99999999999997</v>
      </c>
      <c r="D45" s="95">
        <f t="shared" si="5"/>
        <v>69.99999999999997</v>
      </c>
    </row>
    <row r="46" spans="2:4" ht="12.75">
      <c r="B46" s="99">
        <f t="shared" si="3"/>
        <v>19.111111111111114</v>
      </c>
      <c r="C46" s="95">
        <f t="shared" si="4"/>
        <v>64.40894568690094</v>
      </c>
      <c r="D46" s="95">
        <f t="shared" si="5"/>
        <v>64.40894568690094</v>
      </c>
    </row>
    <row r="47" spans="2:4" ht="12.75">
      <c r="B47" s="99">
        <f t="shared" si="3"/>
        <v>20.222222222222225</v>
      </c>
      <c r="C47" s="95">
        <f t="shared" si="4"/>
        <v>59.64497041420117</v>
      </c>
      <c r="D47" s="95">
        <f t="shared" si="5"/>
        <v>59.64497041420117</v>
      </c>
    </row>
    <row r="48" spans="2:4" ht="12.75">
      <c r="B48" s="99">
        <f t="shared" si="3"/>
        <v>21.333333333333336</v>
      </c>
      <c r="C48" s="95">
        <f t="shared" si="4"/>
        <v>55.53719008264462</v>
      </c>
      <c r="D48" s="95">
        <f t="shared" si="5"/>
        <v>55.53719008264462</v>
      </c>
    </row>
    <row r="49" spans="2:4" ht="12.75">
      <c r="B49" s="99" t="str">
        <f t="shared" si="3"/>
        <v>M</v>
      </c>
      <c r="C49" s="95" t="e">
        <f t="shared" si="4"/>
        <v>#VALUE!</v>
      </c>
      <c r="D49" s="95" t="e">
        <f t="shared" si="5"/>
        <v>#VALUE!</v>
      </c>
    </row>
    <row r="50" spans="2:4" ht="12.75">
      <c r="B50" s="93"/>
      <c r="C50" s="94" t="s">
        <v>184</v>
      </c>
      <c r="D50" s="93" t="s">
        <v>186</v>
      </c>
    </row>
    <row r="51" spans="2:4" ht="12.75">
      <c r="B51" s="99">
        <f aca="true" t="shared" si="6" ref="B51:B57">B33</f>
        <v>14.66666666666667</v>
      </c>
      <c r="C51" s="95">
        <f aca="true" t="shared" si="7" ref="C51:C57">IF(ModelType="B",1/(LA*(B33-LTmin)*(LTmax-B33)^LB),0)</f>
        <v>0</v>
      </c>
      <c r="D51" s="95">
        <f aca="true" t="shared" si="8" ref="D51:D57">IF(ModelType="B",C51*$D$58/$C$58,0)</f>
        <v>0</v>
      </c>
    </row>
    <row r="52" spans="2:4" ht="12.75">
      <c r="B52" s="99">
        <f t="shared" si="6"/>
        <v>15.77777777777778</v>
      </c>
      <c r="C52" s="95">
        <f t="shared" si="7"/>
        <v>0</v>
      </c>
      <c r="D52" s="95">
        <f t="shared" si="8"/>
        <v>0</v>
      </c>
    </row>
    <row r="53" spans="2:4" ht="12.75">
      <c r="B53" s="99">
        <f t="shared" si="6"/>
        <v>16.888888888888893</v>
      </c>
      <c r="C53" s="95">
        <f t="shared" si="7"/>
        <v>0</v>
      </c>
      <c r="D53" s="95">
        <f t="shared" si="8"/>
        <v>0</v>
      </c>
    </row>
    <row r="54" spans="2:4" ht="12.75">
      <c r="B54" s="99">
        <f t="shared" si="6"/>
        <v>18.000000000000004</v>
      </c>
      <c r="C54" s="95">
        <f t="shared" si="7"/>
        <v>0</v>
      </c>
      <c r="D54" s="95">
        <f t="shared" si="8"/>
        <v>0</v>
      </c>
    </row>
    <row r="55" spans="2:4" ht="12.75">
      <c r="B55" s="99">
        <f t="shared" si="6"/>
        <v>19.111111111111114</v>
      </c>
      <c r="C55" s="95">
        <f t="shared" si="7"/>
        <v>0</v>
      </c>
      <c r="D55" s="95">
        <f t="shared" si="8"/>
        <v>0</v>
      </c>
    </row>
    <row r="56" spans="2:4" ht="12.75">
      <c r="B56" s="99">
        <f t="shared" si="6"/>
        <v>20.222222222222225</v>
      </c>
      <c r="C56" s="95">
        <f t="shared" si="7"/>
        <v>0</v>
      </c>
      <c r="D56" s="95">
        <f t="shared" si="8"/>
        <v>0</v>
      </c>
    </row>
    <row r="57" spans="2:4" ht="12.75">
      <c r="B57" s="99">
        <f t="shared" si="6"/>
        <v>21.333333333333336</v>
      </c>
      <c r="C57" s="95">
        <f t="shared" si="7"/>
        <v>0</v>
      </c>
      <c r="D57" s="95">
        <f t="shared" si="8"/>
        <v>0</v>
      </c>
    </row>
    <row r="58" spans="1:4" ht="12.75">
      <c r="A58" s="107" t="s">
        <v>185</v>
      </c>
      <c r="B58" s="99">
        <f>TemperatureC</f>
        <v>18</v>
      </c>
      <c r="C58" s="95">
        <f>IF(ModelType="B",1/(LA*(B58-LTmin)*(LTmax-B58)^LB),0)</f>
        <v>0</v>
      </c>
      <c r="D58" s="95">
        <f>ProductionDays</f>
        <v>70</v>
      </c>
    </row>
    <row r="59" spans="2:4" ht="12.75">
      <c r="B59" s="93"/>
      <c r="C59" s="93"/>
      <c r="D59" s="93"/>
    </row>
    <row r="60" spans="2:4" ht="12.75">
      <c r="B60" s="93" t="s">
        <v>64</v>
      </c>
      <c r="C60" s="110" t="e">
        <f>LRmax/((LTopt-LTmin)*(LTmax-LTopt))</f>
        <v>#DIV/0!</v>
      </c>
      <c r="D60" s="93"/>
    </row>
    <row r="61" spans="2:4" ht="12.75">
      <c r="B61" s="93" t="s">
        <v>68</v>
      </c>
      <c r="C61" s="110" t="e">
        <f>(LTmax-LTopt)/(LTopt-LTmin)</f>
        <v>#DIV/0!</v>
      </c>
      <c r="D61" s="93"/>
    </row>
  </sheetData>
  <sheetProtection/>
  <mergeCells count="1">
    <mergeCell ref="B31:D3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UNH COLSA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Fisher</dc:creator>
  <cp:keywords/>
  <dc:description/>
  <cp:lastModifiedBy>Fisher,Paul</cp:lastModifiedBy>
  <cp:lastPrinted>2011-06-15T15:06:29Z</cp:lastPrinted>
  <dcterms:created xsi:type="dcterms:W3CDTF">2006-01-12T12:47:39Z</dcterms:created>
  <dcterms:modified xsi:type="dcterms:W3CDTF">2015-11-17T18:55:33Z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