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OTES" sheetId="1" r:id="rId1"/>
    <sheet name="Fertilizer Crop Model" sheetId="2" r:id="rId2"/>
    <sheet name="Data (before)" sheetId="3" r:id="rId3"/>
    <sheet name="Data (after)" sheetId="4" r:id="rId4"/>
  </sheets>
  <definedNames>
    <definedName name="a">'Fertilizer Crop Model'!$D$13</definedName>
    <definedName name="b">'Fertilizer Crop Model'!$D$14</definedName>
    <definedName name="CDC_a">'Data (before)'!$O$37</definedName>
    <definedName name="CDC_a2">'Data (after)'!$N$37</definedName>
    <definedName name="CDC_b">'Data (before)'!$O$38</definedName>
    <definedName name="CDC_b2">'Data (after)'!$N$38</definedName>
    <definedName name="Crop_elast_D">'Fertilizer Crop Model'!$D$18</definedName>
    <definedName name="Crop_elast_S">'Fertilizer Crop Model'!$D$17</definedName>
    <definedName name="Crop_imp">'Fertilizer Crop Model'!#REF!</definedName>
    <definedName name="Crop_prod">'Fertilizer Crop Model'!$D$16</definedName>
    <definedName name="Crop_prod2">'Fertilizer Crop Model'!#REF!</definedName>
    <definedName name="CSC_a">'Data (before)'!$O$42</definedName>
    <definedName name="CSC_a2">'Data (after)'!$N$42</definedName>
    <definedName name="CSC_b">'Data (before)'!$O$43</definedName>
    <definedName name="CSC_b2">'Data (after)'!$N$43</definedName>
    <definedName name="D_fert">'Fertilizer Crop Model'!$D$21</definedName>
    <definedName name="D_fert2">'Fertilizer Crop Model'!$E$21</definedName>
    <definedName name="Ed">'Fertilizer Crop Model'!$D$18</definedName>
    <definedName name="FDC_a">'Data (before)'!$L$37</definedName>
    <definedName name="FDC_a2">'Data (after)'!$K$37</definedName>
    <definedName name="FDC_b">'Data (before)'!$L$38</definedName>
    <definedName name="FDC_b2">'Data (after)'!$K$38</definedName>
    <definedName name="Fert_use">'Data (before)'!$L$44</definedName>
    <definedName name="Fert_use2">'Data (after)'!$K$44</definedName>
    <definedName name="FRC_a">'Fertilizer Crop Model'!$D$13</definedName>
    <definedName name="FRC_a2">'Fertilizer Crop Model'!$E$13</definedName>
    <definedName name="FRC_b">'Fertilizer Crop Model'!$D$14</definedName>
    <definedName name="FRC_b2">'Fertilizer Crop Model'!$E$14</definedName>
    <definedName name="FRC_c">'Fertilizer Crop Model'!$D$15</definedName>
    <definedName name="FRC_c2">'Fertilizer Crop Model'!$E$15</definedName>
    <definedName name="P_crop">'Fertilizer Crop Model'!$D$4</definedName>
    <definedName name="P_crop2">'Fertilizer Crop Model'!$E$4</definedName>
    <definedName name="P_fert">'Fertilizer Crop Model'!$D$6</definedName>
    <definedName name="P_fert_sub">'Fertilizer Crop Model'!$D$7</definedName>
    <definedName name="P_fert_sub2">'Fertilizer Crop Model'!$E$7</definedName>
    <definedName name="P_fert2">'Fertilizer Crop Model'!$E$6</definedName>
    <definedName name="Subsidy">'Fertilizer Crop Model'!$D$9</definedName>
    <definedName name="Subsidy2">'Fertilizer Crop Model'!$E$9</definedName>
    <definedName name="VCratio">'Fertilizer Crop Model'!$D$11</definedName>
    <definedName name="VCratio2">'Fertilizer Crop Model'!$E$11</definedName>
    <definedName name="Yield">'Data (before)'!$L$46</definedName>
    <definedName name="Yield2">'Data (after)'!$K$46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<sst xmlns="http://schemas.openxmlformats.org/spreadsheetml/2006/main" count="217" uniqueCount="129">
  <si>
    <t>V/C ratio</t>
  </si>
  <si>
    <t>Fertilizer response curve</t>
  </si>
  <si>
    <t xml:space="preserve">  a (constant)</t>
  </si>
  <si>
    <t xml:space="preserve">  b (linear)</t>
  </si>
  <si>
    <t xml:space="preserve">  c (squared)</t>
  </si>
  <si>
    <t>Economic</t>
  </si>
  <si>
    <t>Fertilizer</t>
  </si>
  <si>
    <t>(kg/ha)</t>
  </si>
  <si>
    <t>crop (US$)</t>
  </si>
  <si>
    <t>Value of</t>
  </si>
  <si>
    <t>fert (US$)</t>
  </si>
  <si>
    <t>VCR</t>
  </si>
  <si>
    <t>Marginal</t>
  </si>
  <si>
    <t>Crop supply elasticity</t>
  </si>
  <si>
    <t>Crop demand elasticity</t>
  </si>
  <si>
    <t>Results</t>
  </si>
  <si>
    <t>"P_fert*VCratio = P_crop*(FRC_b+2*FRC_c*D_fert)</t>
  </si>
  <si>
    <t>"(P_fert/P_crop)*VCratio - FRC_b = 2*FRC_c*D_fert</t>
  </si>
  <si>
    <t>"((P_fert/P_crop)*VCratio - FRC_b)/(2*FRC_c)  = D_fert</t>
  </si>
  <si>
    <t xml:space="preserve">Cost of </t>
  </si>
  <si>
    <t>Profit</t>
  </si>
  <si>
    <t>(US$)</t>
  </si>
  <si>
    <t>Optimum</t>
  </si>
  <si>
    <t>Agronomic</t>
  </si>
  <si>
    <t>VCR=0</t>
  </si>
  <si>
    <t>VCR=1</t>
  </si>
  <si>
    <t>Farmer</t>
  </si>
  <si>
    <t xml:space="preserve">Fertilizer </t>
  </si>
  <si>
    <t>demand</t>
  </si>
  <si>
    <t>Before</t>
  </si>
  <si>
    <t>After</t>
  </si>
  <si>
    <t>Data for base scenario ("Before")</t>
  </si>
  <si>
    <t>Data for alternative scenario ("After")</t>
  </si>
  <si>
    <t>Change</t>
  </si>
  <si>
    <t>Price of fertilizer</t>
  </si>
  <si>
    <t>Assumptions</t>
  </si>
  <si>
    <t>(quant)</t>
  </si>
  <si>
    <t>(price)</t>
  </si>
  <si>
    <t>supply</t>
  </si>
  <si>
    <t>quantity</t>
  </si>
  <si>
    <t>Crop</t>
  </si>
  <si>
    <t>Fertilizer response curve (value of crop output for different fertilizer quantities)</t>
  </si>
  <si>
    <t>Supply and demand for fertilizer</t>
  </si>
  <si>
    <t>Supply and demand for crop</t>
  </si>
  <si>
    <t xml:space="preserve">  b (P coefficient)</t>
  </si>
  <si>
    <t>Crop demand curve (double log)</t>
  </si>
  <si>
    <t>Fertilizer demand curve (linear)</t>
  </si>
  <si>
    <t>Crop supply curve (double log)</t>
  </si>
  <si>
    <t>Elast fert wrt fert price</t>
  </si>
  <si>
    <t>Elast fert wrt crop price</t>
  </si>
  <si>
    <t>"@D_fert/@P_crop = [P_fert*Vcratio/(2*FRC_c)]*(-1)*(P_crop)^(-2)</t>
  </si>
  <si>
    <t>Crop prod</t>
  </si>
  <si>
    <t>log(P) = (ad-as)/(bs-bd)</t>
  </si>
  <si>
    <t>P = exp((ad-as)/(bs-bd))</t>
  </si>
  <si>
    <t xml:space="preserve"> </t>
  </si>
  <si>
    <t xml:space="preserve">  b (elast of demand wrt P)</t>
  </si>
  <si>
    <t>Elast yield wrt fert</t>
  </si>
  <si>
    <t>Elast yield wrt crop p</t>
  </si>
  <si>
    <t xml:space="preserve">  Elast of yield wrt crop p</t>
  </si>
  <si>
    <t xml:space="preserve"> Crop supply elasticity</t>
  </si>
  <si>
    <t xml:space="preserve">  b (elast of area wrt crop p)</t>
  </si>
  <si>
    <t>Farmer optimum fert use</t>
  </si>
  <si>
    <t>Marginal output-input ratio</t>
  </si>
  <si>
    <t>Equilibrium price (US$/ton)</t>
  </si>
  <si>
    <t>Yield (kg/ha)</t>
  </si>
  <si>
    <t>Value of output (US$/ha)</t>
  </si>
  <si>
    <t>Fertilizer supply curve (horizontal)</t>
  </si>
  <si>
    <t>P=</t>
  </si>
  <si>
    <t>F = a + b*P_fert</t>
  </si>
  <si>
    <t>log(D) = a+b*log(P)</t>
  </si>
  <si>
    <t>log(S) = a+b*log(P)+log(Yield)</t>
  </si>
  <si>
    <t>log(S) = as + bs*log(P) + log(Y)= log(D) = ad + bd*log(P)</t>
  </si>
  <si>
    <t>Crop production (1000 tons)</t>
  </si>
  <si>
    <t>Crop price (US$/ton)</t>
  </si>
  <si>
    <t>Equilibrium quantity (th tons)</t>
  </si>
  <si>
    <t>Producer surplus</t>
  </si>
  <si>
    <t>Vertical gap between</t>
  </si>
  <si>
    <t>S2 - S1</t>
  </si>
  <si>
    <t>D - S2</t>
  </si>
  <si>
    <t>Lesser</t>
  </si>
  <si>
    <t>of two</t>
  </si>
  <si>
    <t xml:space="preserve">Only </t>
  </si>
  <si>
    <t xml:space="preserve">positive </t>
  </si>
  <si>
    <t>numbers</t>
  </si>
  <si>
    <t xml:space="preserve">Vert gap </t>
  </si>
  <si>
    <t>times</t>
  </si>
  <si>
    <t>horiz gap</t>
  </si>
  <si>
    <t xml:space="preserve">Producer surplus = </t>
  </si>
  <si>
    <t xml:space="preserve">   Consumer + producer gain</t>
  </si>
  <si>
    <t>Cost of subsidy</t>
  </si>
  <si>
    <t>Fertilizer use (kg/ha)</t>
  </si>
  <si>
    <t>Price of crop (US$/ton)</t>
  </si>
  <si>
    <t xml:space="preserve">   Before subsidy (US$/ton)</t>
  </si>
  <si>
    <t xml:space="preserve">   After subsidy (US$/ton)</t>
  </si>
  <si>
    <t>Crop production (th tons)</t>
  </si>
  <si>
    <t>Impact of change (1000 US$)</t>
  </si>
  <si>
    <t xml:space="preserve">   Consumer gain</t>
  </si>
  <si>
    <t xml:space="preserve">   Producer gain</t>
  </si>
  <si>
    <t xml:space="preserve">   Net impact on country</t>
  </si>
  <si>
    <t>Same (check)</t>
  </si>
  <si>
    <t>Fertilizer subsidy</t>
  </si>
  <si>
    <t xml:space="preserve">  Subsidy rate (%)</t>
  </si>
  <si>
    <t xml:space="preserve">  Admin cost (% of direct cost)</t>
  </si>
  <si>
    <t xml:space="preserve">   Direct cost of subsidy</t>
  </si>
  <si>
    <t xml:space="preserve">   Admin cost of subsidy</t>
  </si>
  <si>
    <t>Fertilizer-Crop Model</t>
  </si>
  <si>
    <t>The exercises in this workbook correspond to the Powerpoint presentation entitled:</t>
  </si>
  <si>
    <t>Worksheet Color Scheme</t>
  </si>
  <si>
    <t>Yellow = User alterable cells.</t>
  </si>
  <si>
    <t>Yellow cells are meant to be altered by the user, either by changing values or computing values</t>
  </si>
  <si>
    <t>Changing the values in the yellow cells changes the values in the light green results cells</t>
  </si>
  <si>
    <t>They are often linked to graphs which are blank until the data is correctly entered</t>
  </si>
  <si>
    <t>Light Green = Results cells</t>
  </si>
  <si>
    <t xml:space="preserve">These cells change depending upon the values in the yellow cells, </t>
  </si>
  <si>
    <t>Data here represents the results or output of the calculations.</t>
  </si>
  <si>
    <t>Do not alter the light green cells</t>
  </si>
  <si>
    <t>Graphs set on a light green background will change as well.</t>
  </si>
  <si>
    <t>"AAMP Module 1.3 - Profitability of Fertilizer" of the AAMP Training Materials.</t>
  </si>
  <si>
    <t>Exercise: [Fertilizer Crop Model]</t>
  </si>
  <si>
    <t>Use the Fertilizer Crop Model to determine the effects of policy and price changes on</t>
  </si>
  <si>
    <t xml:space="preserve">fertilizer use, fertilizer demand, and crop supply, as well as producer and consumer </t>
  </si>
  <si>
    <t>gain.</t>
  </si>
  <si>
    <t>[Data (before)]</t>
  </si>
  <si>
    <t>Data used in the Fertilzer Crop Model</t>
  </si>
  <si>
    <t>Do not alter data</t>
  </si>
  <si>
    <t>Alter yellow cells to create results displayed in green cells.</t>
  </si>
  <si>
    <t>[Data (after)]</t>
  </si>
  <si>
    <t>Data used in the Fertilizer Crop Model</t>
  </si>
  <si>
    <t>Worksheets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</si>
</sst>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0"/>
    <numFmt numFmtId="168" formatCode="0.000"/>
    <numFmt numFmtId="169" formatCode="0.00000"/>
    <numFmt numFmtId="170" formatCode="[$-409]dddd\,\ mmmm\ dd\,\ yyyy"/>
    <numFmt numFmtId="171" formatCode="[$-409]h:mm:ss\ AM/PM"/>
    <numFmt numFmtId="172" formatCode="0.0000000"/>
    <numFmt numFmtId="173" formatCode="0.000000"/>
    <numFmt numFmtId="174" formatCode="#,##0.0"/>
    <numFmt numFmtId="175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.25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9" fontId="0" fillId="0" borderId="0" xfId="58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4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42" applyNumberFormat="1" applyFont="1" applyBorder="1" applyAlignment="1">
      <alignment/>
    </xf>
    <xf numFmtId="1" fontId="0" fillId="0" borderId="16" xfId="42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43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0" xfId="0" applyAlignment="1" quotePrefix="1">
      <alignment horizontal="center"/>
    </xf>
    <xf numFmtId="165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2" fontId="0" fillId="0" borderId="0" xfId="0" applyNumberFormat="1" applyAlignment="1">
      <alignment horizontal="right"/>
    </xf>
    <xf numFmtId="165" fontId="0" fillId="0" borderId="12" xfId="0" applyNumberFormat="1" applyBorder="1" applyAlignment="1">
      <alignment/>
    </xf>
    <xf numFmtId="0" fontId="2" fillId="0" borderId="15" xfId="0" applyFont="1" applyBorder="1" applyAlignment="1">
      <alignment/>
    </xf>
    <xf numFmtId="165" fontId="2" fillId="0" borderId="15" xfId="42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right"/>
    </xf>
    <xf numFmtId="9" fontId="0" fillId="0" borderId="0" xfId="58" applyFont="1" applyAlignment="1">
      <alignment horizontal="right"/>
    </xf>
    <xf numFmtId="2" fontId="0" fillId="0" borderId="0" xfId="42" applyNumberFormat="1" applyFont="1" applyAlignment="1">
      <alignment/>
    </xf>
    <xf numFmtId="3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32" borderId="0" xfId="42" applyNumberFormat="1" applyFont="1" applyFill="1" applyAlignment="1">
      <alignment/>
    </xf>
    <xf numFmtId="9" fontId="0" fillId="32" borderId="0" xfId="0" applyNumberFormat="1" applyFont="1" applyFill="1" applyAlignment="1">
      <alignment/>
    </xf>
    <xf numFmtId="3" fontId="0" fillId="32" borderId="0" xfId="42" applyNumberFormat="1" applyFont="1" applyFill="1" applyAlignment="1">
      <alignment/>
    </xf>
    <xf numFmtId="2" fontId="0" fillId="32" borderId="0" xfId="42" applyNumberFormat="1" applyFont="1" applyFill="1" applyAlignment="1">
      <alignment/>
    </xf>
    <xf numFmtId="3" fontId="0" fillId="32" borderId="0" xfId="42" applyNumberFormat="1" applyFont="1" applyFill="1" applyAlignment="1">
      <alignment/>
    </xf>
    <xf numFmtId="2" fontId="0" fillId="32" borderId="0" xfId="42" applyNumberFormat="1" applyFont="1" applyFill="1" applyAlignment="1">
      <alignment/>
    </xf>
    <xf numFmtId="0" fontId="0" fillId="33" borderId="0" xfId="0" applyFill="1" applyAlignment="1">
      <alignment/>
    </xf>
    <xf numFmtId="9" fontId="0" fillId="0" borderId="0" xfId="58" applyFont="1" applyFill="1" applyAlignment="1">
      <alignment/>
    </xf>
    <xf numFmtId="0" fontId="3" fillId="0" borderId="0" xfId="0" applyFont="1" applyAlignment="1">
      <alignment/>
    </xf>
    <xf numFmtId="3" fontId="0" fillId="33" borderId="0" xfId="42" applyNumberFormat="1" applyFont="1" applyFill="1" applyAlignment="1">
      <alignment horizontal="right"/>
    </xf>
    <xf numFmtId="9" fontId="0" fillId="33" borderId="0" xfId="58" applyFont="1" applyFill="1" applyAlignment="1">
      <alignment horizontal="right"/>
    </xf>
    <xf numFmtId="9" fontId="0" fillId="33" borderId="0" xfId="58" applyNumberFormat="1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15" xfId="0" applyFont="1" applyBorder="1" applyAlignment="1">
      <alignment/>
    </xf>
    <xf numFmtId="0" fontId="46" fillId="0" borderId="0" xfId="0" applyFont="1" applyAlignment="1">
      <alignment/>
    </xf>
    <xf numFmtId="0" fontId="46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0" fillId="32" borderId="15" xfId="0" applyFont="1" applyFill="1" applyBorder="1" applyAlignment="1">
      <alignment/>
    </xf>
    <xf numFmtId="0" fontId="45" fillId="34" borderId="0" xfId="0" applyFont="1" applyFill="1" applyAlignment="1">
      <alignment/>
    </xf>
    <xf numFmtId="0" fontId="45" fillId="33" borderId="15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164" fontId="0" fillId="32" borderId="0" xfId="42" applyNumberFormat="1" applyFont="1" applyFill="1" applyAlignment="1">
      <alignment/>
    </xf>
    <xf numFmtId="3" fontId="0" fillId="33" borderId="0" xfId="42" applyNumberFormat="1" applyFont="1" applyFill="1" applyAlignment="1">
      <alignment horizontal="right"/>
    </xf>
    <xf numFmtId="3" fontId="0" fillId="33" borderId="12" xfId="42" applyNumberFormat="1" applyFont="1" applyFill="1" applyBorder="1" applyAlignment="1">
      <alignment horizontal="right"/>
    </xf>
    <xf numFmtId="0" fontId="45" fillId="35" borderId="0" xfId="0" applyFont="1" applyFill="1" applyAlignment="1">
      <alignment/>
    </xf>
    <xf numFmtId="16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Fertilizer response curve</a:t>
            </a:r>
          </a:p>
        </c:rich>
      </c:tx>
      <c:layout>
        <c:manualLayout>
          <c:xMode val="factor"/>
          <c:yMode val="factor"/>
          <c:x val="-0.034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8925"/>
          <c:w val="0.83225"/>
          <c:h val="0.8275"/>
        </c:manualLayout>
      </c:layout>
      <c:scatterChart>
        <c:scatterStyle val="smoothMarker"/>
        <c:varyColors val="0"/>
        <c:ser>
          <c:idx val="0"/>
          <c:order val="0"/>
          <c:tx>
            <c:v>Value of production (before)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(before)'!$C$9:$C$99</c:f>
              <c:numCache>
                <c:ptCount val="91"/>
                <c:pt idx="0">
                  <c:v>200</c:v>
                </c:pt>
                <c:pt idx="1">
                  <c:v>206.1875</c:v>
                </c:pt>
                <c:pt idx="2">
                  <c:v>212.25</c:v>
                </c:pt>
                <c:pt idx="3">
                  <c:v>218.1875</c:v>
                </c:pt>
                <c:pt idx="4">
                  <c:v>224</c:v>
                </c:pt>
                <c:pt idx="5">
                  <c:v>229.6875</c:v>
                </c:pt>
                <c:pt idx="6">
                  <c:v>235.25</c:v>
                </c:pt>
                <c:pt idx="7">
                  <c:v>240.6875</c:v>
                </c:pt>
                <c:pt idx="8">
                  <c:v>246</c:v>
                </c:pt>
                <c:pt idx="9">
                  <c:v>251.1875</c:v>
                </c:pt>
                <c:pt idx="10">
                  <c:v>256.25</c:v>
                </c:pt>
                <c:pt idx="11">
                  <c:v>261.1875</c:v>
                </c:pt>
                <c:pt idx="12">
                  <c:v>266</c:v>
                </c:pt>
                <c:pt idx="13">
                  <c:v>270.6875</c:v>
                </c:pt>
                <c:pt idx="14">
                  <c:v>275.25</c:v>
                </c:pt>
                <c:pt idx="15">
                  <c:v>279.6875</c:v>
                </c:pt>
                <c:pt idx="16">
                  <c:v>284</c:v>
                </c:pt>
                <c:pt idx="17">
                  <c:v>288.1875</c:v>
                </c:pt>
                <c:pt idx="18">
                  <c:v>292.25</c:v>
                </c:pt>
                <c:pt idx="19">
                  <c:v>296.1875</c:v>
                </c:pt>
                <c:pt idx="20">
                  <c:v>300</c:v>
                </c:pt>
                <c:pt idx="21">
                  <c:v>303.6875</c:v>
                </c:pt>
                <c:pt idx="22">
                  <c:v>307.25</c:v>
                </c:pt>
                <c:pt idx="23">
                  <c:v>310.6875</c:v>
                </c:pt>
                <c:pt idx="24">
                  <c:v>314</c:v>
                </c:pt>
                <c:pt idx="25">
                  <c:v>317.1875</c:v>
                </c:pt>
                <c:pt idx="26">
                  <c:v>320.25</c:v>
                </c:pt>
                <c:pt idx="27">
                  <c:v>323.1875</c:v>
                </c:pt>
                <c:pt idx="28">
                  <c:v>326</c:v>
                </c:pt>
                <c:pt idx="29">
                  <c:v>328.6875</c:v>
                </c:pt>
                <c:pt idx="30">
                  <c:v>331.25</c:v>
                </c:pt>
                <c:pt idx="31">
                  <c:v>333.6875</c:v>
                </c:pt>
                <c:pt idx="32">
                  <c:v>336</c:v>
                </c:pt>
                <c:pt idx="33">
                  <c:v>338.1875</c:v>
                </c:pt>
                <c:pt idx="34">
                  <c:v>340.25</c:v>
                </c:pt>
                <c:pt idx="35">
                  <c:v>342.1875</c:v>
                </c:pt>
                <c:pt idx="36">
                  <c:v>344</c:v>
                </c:pt>
                <c:pt idx="37">
                  <c:v>345.6875</c:v>
                </c:pt>
                <c:pt idx="38">
                  <c:v>347.25</c:v>
                </c:pt>
                <c:pt idx="39">
                  <c:v>348.6875</c:v>
                </c:pt>
                <c:pt idx="40">
                  <c:v>350</c:v>
                </c:pt>
                <c:pt idx="41">
                  <c:v>351.1875</c:v>
                </c:pt>
                <c:pt idx="42">
                  <c:v>352.25</c:v>
                </c:pt>
                <c:pt idx="43">
                  <c:v>353.1875</c:v>
                </c:pt>
                <c:pt idx="44">
                  <c:v>354</c:v>
                </c:pt>
                <c:pt idx="45">
                  <c:v>354.6875</c:v>
                </c:pt>
                <c:pt idx="46">
                  <c:v>355.25</c:v>
                </c:pt>
                <c:pt idx="47">
                  <c:v>355.6875</c:v>
                </c:pt>
                <c:pt idx="48">
                  <c:v>356</c:v>
                </c:pt>
                <c:pt idx="49">
                  <c:v>356.1875</c:v>
                </c:pt>
                <c:pt idx="50">
                  <c:v>356.25</c:v>
                </c:pt>
                <c:pt idx="51">
                  <c:v>356.1875</c:v>
                </c:pt>
                <c:pt idx="52">
                  <c:v>356</c:v>
                </c:pt>
                <c:pt idx="53">
                  <c:v>355.6875</c:v>
                </c:pt>
                <c:pt idx="54">
                  <c:v>355.25</c:v>
                </c:pt>
                <c:pt idx="55">
                  <c:v>354.6875</c:v>
                </c:pt>
                <c:pt idx="56">
                  <c:v>354</c:v>
                </c:pt>
                <c:pt idx="57">
                  <c:v>353.1875</c:v>
                </c:pt>
                <c:pt idx="58">
                  <c:v>352.25</c:v>
                </c:pt>
                <c:pt idx="59">
                  <c:v>351.1875</c:v>
                </c:pt>
                <c:pt idx="60">
                  <c:v>350</c:v>
                </c:pt>
              </c:numCache>
            </c:numRef>
          </c:yVal>
          <c:smooth val="1"/>
        </c:ser>
        <c:ser>
          <c:idx val="5"/>
          <c:order val="1"/>
          <c:tx>
            <c:v>Value of production (after)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(after)'!$A$9:$A$98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(after)'!$B$9:$B$98</c:f>
              <c:numCache>
                <c:ptCount val="90"/>
                <c:pt idx="0">
                  <c:v>200</c:v>
                </c:pt>
                <c:pt idx="1">
                  <c:v>206.1875</c:v>
                </c:pt>
                <c:pt idx="2">
                  <c:v>212.25</c:v>
                </c:pt>
                <c:pt idx="3">
                  <c:v>218.1875</c:v>
                </c:pt>
                <c:pt idx="4">
                  <c:v>224</c:v>
                </c:pt>
                <c:pt idx="5">
                  <c:v>229.6875</c:v>
                </c:pt>
                <c:pt idx="6">
                  <c:v>235.25</c:v>
                </c:pt>
                <c:pt idx="7">
                  <c:v>240.6875</c:v>
                </c:pt>
                <c:pt idx="8">
                  <c:v>246</c:v>
                </c:pt>
                <c:pt idx="9">
                  <c:v>251.1875</c:v>
                </c:pt>
                <c:pt idx="10">
                  <c:v>256.25</c:v>
                </c:pt>
                <c:pt idx="11">
                  <c:v>261.1875</c:v>
                </c:pt>
                <c:pt idx="12">
                  <c:v>266</c:v>
                </c:pt>
                <c:pt idx="13">
                  <c:v>270.6875</c:v>
                </c:pt>
                <c:pt idx="14">
                  <c:v>275.25</c:v>
                </c:pt>
                <c:pt idx="15">
                  <c:v>279.6875</c:v>
                </c:pt>
                <c:pt idx="16">
                  <c:v>284</c:v>
                </c:pt>
                <c:pt idx="17">
                  <c:v>288.1875</c:v>
                </c:pt>
                <c:pt idx="18">
                  <c:v>292.25</c:v>
                </c:pt>
                <c:pt idx="19">
                  <c:v>296.1875</c:v>
                </c:pt>
                <c:pt idx="20">
                  <c:v>300</c:v>
                </c:pt>
                <c:pt idx="21">
                  <c:v>303.6875</c:v>
                </c:pt>
                <c:pt idx="22">
                  <c:v>307.25</c:v>
                </c:pt>
                <c:pt idx="23">
                  <c:v>310.6875</c:v>
                </c:pt>
                <c:pt idx="24">
                  <c:v>314</c:v>
                </c:pt>
                <c:pt idx="25">
                  <c:v>317.1875</c:v>
                </c:pt>
                <c:pt idx="26">
                  <c:v>320.25</c:v>
                </c:pt>
                <c:pt idx="27">
                  <c:v>323.1875</c:v>
                </c:pt>
                <c:pt idx="28">
                  <c:v>326</c:v>
                </c:pt>
                <c:pt idx="29">
                  <c:v>328.6875</c:v>
                </c:pt>
                <c:pt idx="30">
                  <c:v>331.25</c:v>
                </c:pt>
                <c:pt idx="31">
                  <c:v>333.6875</c:v>
                </c:pt>
                <c:pt idx="32">
                  <c:v>336</c:v>
                </c:pt>
                <c:pt idx="33">
                  <c:v>338.1875</c:v>
                </c:pt>
                <c:pt idx="34">
                  <c:v>340.25</c:v>
                </c:pt>
                <c:pt idx="35">
                  <c:v>342.1875</c:v>
                </c:pt>
                <c:pt idx="36">
                  <c:v>344</c:v>
                </c:pt>
                <c:pt idx="37">
                  <c:v>345.6875</c:v>
                </c:pt>
                <c:pt idx="38">
                  <c:v>347.25</c:v>
                </c:pt>
                <c:pt idx="39">
                  <c:v>348.6875</c:v>
                </c:pt>
                <c:pt idx="40">
                  <c:v>350</c:v>
                </c:pt>
                <c:pt idx="41">
                  <c:v>351.1875</c:v>
                </c:pt>
                <c:pt idx="42">
                  <c:v>352.25</c:v>
                </c:pt>
                <c:pt idx="43">
                  <c:v>353.1875</c:v>
                </c:pt>
                <c:pt idx="44">
                  <c:v>354</c:v>
                </c:pt>
                <c:pt idx="45">
                  <c:v>354.6875</c:v>
                </c:pt>
                <c:pt idx="46">
                  <c:v>355.25</c:v>
                </c:pt>
                <c:pt idx="47">
                  <c:v>355.6875</c:v>
                </c:pt>
                <c:pt idx="48">
                  <c:v>356</c:v>
                </c:pt>
                <c:pt idx="49">
                  <c:v>356.1875</c:v>
                </c:pt>
                <c:pt idx="50">
                  <c:v>356.25</c:v>
                </c:pt>
                <c:pt idx="51">
                  <c:v>356.1875</c:v>
                </c:pt>
                <c:pt idx="52">
                  <c:v>356</c:v>
                </c:pt>
                <c:pt idx="53">
                  <c:v>355.6875</c:v>
                </c:pt>
                <c:pt idx="54">
                  <c:v>355.25</c:v>
                </c:pt>
                <c:pt idx="55">
                  <c:v>354.6875</c:v>
                </c:pt>
                <c:pt idx="56">
                  <c:v>354</c:v>
                </c:pt>
                <c:pt idx="57">
                  <c:v>353.1875</c:v>
                </c:pt>
                <c:pt idx="58">
                  <c:v>352.25</c:v>
                </c:pt>
                <c:pt idx="59">
                  <c:v>351.1875</c:v>
                </c:pt>
                <c:pt idx="60">
                  <c:v>350</c:v>
                </c:pt>
              </c:numCache>
            </c:numRef>
          </c:yVal>
          <c:smooth val="1"/>
        </c:ser>
        <c:ser>
          <c:idx val="1"/>
          <c:order val="2"/>
          <c:tx>
            <c:v>Cost of fertilizer (before)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(before)'!$D$9:$D$99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yVal>
          <c:smooth val="1"/>
        </c:ser>
        <c:ser>
          <c:idx val="6"/>
          <c:order val="3"/>
          <c:tx>
            <c:v>Cost of fertilizer (after)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(after)'!$A$9:$A$98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(after)'!$C$9:$C$98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yVal>
          <c:smooth val="1"/>
        </c:ser>
        <c:ser>
          <c:idx val="4"/>
          <c:order val="4"/>
          <c:tx>
            <c:v>Farmer optimum (before)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(before)'!$I$9:$I$99</c:f>
              <c:numCache>
                <c:ptCount val="9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340.25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ser>
          <c:idx val="7"/>
          <c:order val="5"/>
          <c:tx>
            <c:v>Farmer optimum (after)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'Data (after)'!$A$9:$A$98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(after)'!$H$9:$H$98</c:f>
              <c:numCache>
                <c:ptCount val="90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340.25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ser>
          <c:idx val="2"/>
          <c:order val="6"/>
          <c:tx>
            <c:v>Agronomic maximum (before)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(before)'!$G$9:$G$99</c:f>
              <c:numCache>
                <c:ptCount val="9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356.25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ser>
          <c:idx val="3"/>
          <c:order val="7"/>
          <c:tx>
            <c:v>Economic optimum (before)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(before)'!$A$9:$A$99</c:f>
              <c:num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'Data (before)'!$H$9:$H$99</c:f>
              <c:numCache>
                <c:ptCount val="91"/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352.25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</c:numCache>
            </c:numRef>
          </c:yVal>
          <c:smooth val="1"/>
        </c:ser>
        <c:axId val="49043586"/>
        <c:axId val="38739091"/>
      </c:scatterChart>
      <c:valAx>
        <c:axId val="49043586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Fertilizer use (kg/ha)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 val="autoZero"/>
        <c:crossBetween val="midCat"/>
        <c:dispUnits/>
        <c:majorUnit val="20"/>
      </c:valAx>
      <c:valAx>
        <c:axId val="387390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($US/ha) </a:t>
                </a:r>
              </a:p>
            </c:rich>
          </c:tx>
          <c:layout>
            <c:manualLayout>
              <c:xMode val="factor"/>
              <c:yMode val="factor"/>
              <c:x val="-0.016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25"/>
          <c:y val="0.21625"/>
          <c:w val="0.26575"/>
          <c:h val="0.5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Fertilizer supply and demand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1825"/>
          <c:w val="0.953"/>
          <c:h val="0.8365"/>
        </c:manualLayout>
      </c:layout>
      <c:scatterChart>
        <c:scatterStyle val="lineMarker"/>
        <c:varyColors val="0"/>
        <c:ser>
          <c:idx val="0"/>
          <c:order val="0"/>
          <c:tx>
            <c:v>Fertilizer demand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(before)'!$J$9:$J$33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(before)'!$K$9:$K$33</c:f>
              <c:numCache>
                <c:ptCount val="25"/>
                <c:pt idx="0">
                  <c:v>2812.5</c:v>
                </c:pt>
                <c:pt idx="1">
                  <c:v>2500</c:v>
                </c:pt>
                <c:pt idx="2">
                  <c:v>2187.5</c:v>
                </c:pt>
                <c:pt idx="3">
                  <c:v>1875</c:v>
                </c:pt>
                <c:pt idx="4">
                  <c:v>1562.5</c:v>
                </c:pt>
                <c:pt idx="5">
                  <c:v>1250</c:v>
                </c:pt>
                <c:pt idx="6">
                  <c:v>937.5</c:v>
                </c:pt>
                <c:pt idx="7">
                  <c:v>625</c:v>
                </c:pt>
                <c:pt idx="8">
                  <c:v>312.5</c:v>
                </c:pt>
                <c:pt idx="9">
                  <c:v>0</c:v>
                </c:pt>
                <c:pt idx="10">
                  <c:v>-312.5</c:v>
                </c:pt>
                <c:pt idx="11">
                  <c:v>-625</c:v>
                </c:pt>
              </c:numCache>
            </c:numRef>
          </c:yVal>
          <c:smooth val="0"/>
        </c:ser>
        <c:ser>
          <c:idx val="1"/>
          <c:order val="1"/>
          <c:tx>
            <c:v>Fertilizer supply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(before)'!$J$9:$J$33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(before)'!$L$9:$L$33</c:f>
              <c:numCache>
                <c:ptCount val="2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yVal>
          <c:smooth val="0"/>
        </c:ser>
        <c:ser>
          <c:idx val="2"/>
          <c:order val="2"/>
          <c:tx>
            <c:v>Fertilizer demand (after)</c:v>
          </c:tx>
          <c:spPr>
            <a:ln w="254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(after)'!$I$9:$I$33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(after)'!$J$9:$J$33</c:f>
              <c:numCache>
                <c:ptCount val="25"/>
                <c:pt idx="0">
                  <c:v>2812.5</c:v>
                </c:pt>
                <c:pt idx="1">
                  <c:v>2500</c:v>
                </c:pt>
                <c:pt idx="2">
                  <c:v>2187.5</c:v>
                </c:pt>
                <c:pt idx="3">
                  <c:v>1875</c:v>
                </c:pt>
                <c:pt idx="4">
                  <c:v>1562.5</c:v>
                </c:pt>
                <c:pt idx="5">
                  <c:v>1250</c:v>
                </c:pt>
                <c:pt idx="6">
                  <c:v>937.5</c:v>
                </c:pt>
                <c:pt idx="7">
                  <c:v>625</c:v>
                </c:pt>
                <c:pt idx="8">
                  <c:v>312.5</c:v>
                </c:pt>
                <c:pt idx="9">
                  <c:v>0</c:v>
                </c:pt>
                <c:pt idx="10">
                  <c:v>-312.5</c:v>
                </c:pt>
                <c:pt idx="11">
                  <c:v>-625</c:v>
                </c:pt>
              </c:numCache>
            </c:numRef>
          </c:yVal>
          <c:smooth val="0"/>
        </c:ser>
        <c:ser>
          <c:idx val="3"/>
          <c:order val="3"/>
          <c:tx>
            <c:v>Fertilizer supply (after)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(after)'!$I$9:$I$33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</c:numCache>
            </c:numRef>
          </c:xVal>
          <c:yVal>
            <c:numRef>
              <c:f>'Data (after)'!$K$9:$K$33</c:f>
              <c:numCache>
                <c:ptCount val="2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</c:numCache>
            </c:numRef>
          </c:yVal>
          <c:smooth val="0"/>
        </c:ser>
        <c:axId val="13107500"/>
        <c:axId val="50858637"/>
      </c:scatterChart>
      <c:valAx>
        <c:axId val="13107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Fertilizer use (kg nutrients/hectare)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8637"/>
        <c:crosses val="autoZero"/>
        <c:crossBetween val="midCat"/>
        <c:dispUnits/>
        <c:majorUnit val="10"/>
        <c:minorUnit val="5"/>
      </c:valAx>
      <c:valAx>
        <c:axId val="508586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fertilizer (US$/ton) 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750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925"/>
          <c:y val="0.16125"/>
          <c:w val="0.33875"/>
          <c:h val="0.21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Crop demand and supply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8025"/>
          <c:w val="0.96725"/>
          <c:h val="0.865"/>
        </c:manualLayout>
      </c:layout>
      <c:lineChart>
        <c:grouping val="standard"/>
        <c:varyColors val="0"/>
        <c:ser>
          <c:idx val="0"/>
          <c:order val="0"/>
          <c:tx>
            <c:v>Crop demand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(before)'!$M$9:$M$33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</c:numCache>
            </c:numRef>
          </c:cat>
          <c:val>
            <c:numRef>
              <c:f>'Data (before)'!$N$9:$N$33</c:f>
              <c:numCache>
                <c:ptCount val="25"/>
                <c:pt idx="14">
                  <c:v>652.2325429915337</c:v>
                </c:pt>
                <c:pt idx="15">
                  <c:v>525.9850317460674</c:v>
                </c:pt>
                <c:pt idx="16">
                  <c:v>429.74442987095557</c:v>
                </c:pt>
                <c:pt idx="17">
                  <c:v>355.19347347437895</c:v>
                </c:pt>
                <c:pt idx="18">
                  <c:v>296.6160572069118</c:v>
                </c:pt>
                <c:pt idx="19">
                  <c:v>250.00000000000034</c:v>
                </c:pt>
                <c:pt idx="20">
                  <c:v>212.47557430217054</c:v>
                </c:pt>
                <c:pt idx="21">
                  <c:v>181.95516644467799</c:v>
                </c:pt>
                <c:pt idx="22">
                  <c:v>156.896723471544</c:v>
                </c:pt>
                <c:pt idx="23">
                  <c:v>136.14525880801955</c:v>
                </c:pt>
                <c:pt idx="24">
                  <c:v>118.82467414048732</c:v>
                </c:pt>
              </c:numCache>
            </c:numRef>
          </c:val>
          <c:smooth val="0"/>
        </c:ser>
        <c:ser>
          <c:idx val="1"/>
          <c:order val="1"/>
          <c:tx>
            <c:v>Crop supply (before)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(before)'!$M$9:$M$33</c:f>
              <c:numCache>
                <c:ptCount val="2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</c:numCache>
            </c:numRef>
          </c:cat>
          <c:val>
            <c:numRef>
              <c:f>'Data (before)'!$O$9:$O$33</c:f>
              <c:numCache>
                <c:ptCount val="25"/>
                <c:pt idx="14">
                  <c:v>54.23064350458159</c:v>
                </c:pt>
                <c:pt idx="15">
                  <c:v>76.40784963313646</c:v>
                </c:pt>
                <c:pt idx="16">
                  <c:v>105.43909224269704</c:v>
                </c:pt>
                <c:pt idx="17">
                  <c:v>142.84618437823016</c:v>
                </c:pt>
                <c:pt idx="18">
                  <c:v>190.37245583142075</c:v>
                </c:pt>
                <c:pt idx="19">
                  <c:v>250.0000000000001</c:v>
                </c:pt>
                <c:pt idx="20">
                  <c:v>323.9672228086301</c:v>
                </c:pt>
                <c:pt idx="21">
                  <c:v>414.78668263731237</c:v>
                </c:pt>
                <c:pt idx="22">
                  <c:v>525.2632111470471</c:v>
                </c:pt>
                <c:pt idx="23">
                  <c:v>658.5123057140229</c:v>
                </c:pt>
                <c:pt idx="24">
                  <c:v>817.9787849034706</c:v>
                </c:pt>
              </c:numCache>
            </c:numRef>
          </c:val>
          <c:smooth val="0"/>
        </c:ser>
        <c:ser>
          <c:idx val="2"/>
          <c:order val="2"/>
          <c:tx>
            <c:v>Crop supply (after)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(after)'!$N$9:$N$33</c:f>
              <c:numCache>
                <c:ptCount val="25"/>
                <c:pt idx="14">
                  <c:v>54.23064350458159</c:v>
                </c:pt>
                <c:pt idx="15">
                  <c:v>76.40784963313646</c:v>
                </c:pt>
                <c:pt idx="16">
                  <c:v>105.43909224269704</c:v>
                </c:pt>
                <c:pt idx="17">
                  <c:v>142.84618437823016</c:v>
                </c:pt>
                <c:pt idx="18">
                  <c:v>190.37245583142075</c:v>
                </c:pt>
                <c:pt idx="19">
                  <c:v>250.0000000000001</c:v>
                </c:pt>
                <c:pt idx="20">
                  <c:v>323.9672228086301</c:v>
                </c:pt>
                <c:pt idx="21">
                  <c:v>414.78668263731237</c:v>
                </c:pt>
                <c:pt idx="22">
                  <c:v>525.2632111470471</c:v>
                </c:pt>
                <c:pt idx="23">
                  <c:v>658.5123057140229</c:v>
                </c:pt>
                <c:pt idx="24">
                  <c:v>817.9787849034706</c:v>
                </c:pt>
              </c:numCache>
            </c:numRef>
          </c:val>
          <c:smooth val="0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 of crop (1000 tons)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08903"/>
        <c:crosses val="autoZero"/>
        <c:auto val="1"/>
        <c:lblOffset val="100"/>
        <c:tickLblSkip val="2"/>
        <c:noMultiLvlLbl val="0"/>
      </c:catAx>
      <c:valAx>
        <c:axId val="2590890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crop (US$/ton)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4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35"/>
          <c:y val="0.1975"/>
          <c:w val="0.35075"/>
          <c:h val="0.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66675</xdr:rowOff>
    </xdr:from>
    <xdr:to>
      <xdr:col>16</xdr:col>
      <xdr:colOff>552450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629025" y="66675"/>
        <a:ext cx="59626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85725</xdr:colOff>
      <xdr:row>23</xdr:row>
      <xdr:rowOff>47625</xdr:rowOff>
    </xdr:from>
    <xdr:to>
      <xdr:col>16</xdr:col>
      <xdr:colOff>533400</xdr:colOff>
      <xdr:row>47</xdr:row>
      <xdr:rowOff>142875</xdr:rowOff>
    </xdr:to>
    <xdr:graphicFrame>
      <xdr:nvGraphicFramePr>
        <xdr:cNvPr id="2" name="Chart 4"/>
        <xdr:cNvGraphicFramePr/>
      </xdr:nvGraphicFramePr>
      <xdr:xfrm>
        <a:off x="3638550" y="3895725"/>
        <a:ext cx="59340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95250</xdr:colOff>
      <xdr:row>48</xdr:row>
      <xdr:rowOff>85725</xdr:rowOff>
    </xdr:from>
    <xdr:to>
      <xdr:col>16</xdr:col>
      <xdr:colOff>533400</xdr:colOff>
      <xdr:row>72</xdr:row>
      <xdr:rowOff>95250</xdr:rowOff>
    </xdr:to>
    <xdr:graphicFrame>
      <xdr:nvGraphicFramePr>
        <xdr:cNvPr id="3" name="Chart 3"/>
        <xdr:cNvGraphicFramePr/>
      </xdr:nvGraphicFramePr>
      <xdr:xfrm>
        <a:off x="3648075" y="7981950"/>
        <a:ext cx="59245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8"/>
  <sheetViews>
    <sheetView tabSelected="1" zoomScalePageLayoutView="0" workbookViewId="0" topLeftCell="A1">
      <selection activeCell="W1" sqref="W1"/>
    </sheetView>
  </sheetViews>
  <sheetFormatPr defaultColWidth="4.140625" defaultRowHeight="12.75"/>
  <cols>
    <col min="1" max="22" width="4.140625" style="83" customWidth="1"/>
    <col min="23" max="23" width="4.140625" style="84" customWidth="1"/>
    <col min="24" max="16384" width="4.140625" style="83" customWidth="1"/>
  </cols>
  <sheetData>
    <row r="1" ht="12.75">
      <c r="A1" s="83" t="s">
        <v>106</v>
      </c>
    </row>
    <row r="2" ht="12.75">
      <c r="B2" s="83" t="s">
        <v>117</v>
      </c>
    </row>
    <row r="4" spans="1:23" ht="12.75">
      <c r="A4" s="85"/>
      <c r="W4" s="86"/>
    </row>
    <row r="5" spans="1:24" ht="12.75">
      <c r="A5" s="85" t="s">
        <v>128</v>
      </c>
      <c r="W5" s="86" t="s">
        <v>107</v>
      </c>
      <c r="X5" s="87"/>
    </row>
    <row r="6" spans="1:24" ht="12.75">
      <c r="A6" s="89"/>
      <c r="B6" s="85" t="s">
        <v>118</v>
      </c>
      <c r="W6" s="88"/>
      <c r="X6" s="87" t="s">
        <v>108</v>
      </c>
    </row>
    <row r="7" spans="3:24" ht="12.75">
      <c r="C7" s="83" t="s">
        <v>119</v>
      </c>
      <c r="X7" s="87" t="s">
        <v>109</v>
      </c>
    </row>
    <row r="8" spans="3:25" ht="12.75">
      <c r="C8" s="83" t="s">
        <v>120</v>
      </c>
      <c r="Y8" s="83" t="s">
        <v>110</v>
      </c>
    </row>
    <row r="9" spans="3:24" ht="12.75">
      <c r="C9" s="83" t="s">
        <v>121</v>
      </c>
      <c r="X9" s="87" t="s">
        <v>111</v>
      </c>
    </row>
    <row r="10" spans="3:24" ht="12.75">
      <c r="C10" s="83" t="s">
        <v>125</v>
      </c>
      <c r="W10" s="90"/>
      <c r="X10" s="91" t="s">
        <v>112</v>
      </c>
    </row>
    <row r="11" ht="12.75">
      <c r="X11" s="91" t="s">
        <v>113</v>
      </c>
    </row>
    <row r="12" spans="1:25" ht="12.75">
      <c r="A12" s="95"/>
      <c r="B12" s="85" t="s">
        <v>122</v>
      </c>
      <c r="Y12" s="83" t="s">
        <v>114</v>
      </c>
    </row>
    <row r="13" spans="2:24" ht="12.75">
      <c r="B13" s="85"/>
      <c r="C13" s="83" t="s">
        <v>123</v>
      </c>
      <c r="X13" s="91" t="s">
        <v>115</v>
      </c>
    </row>
    <row r="14" spans="2:24" ht="12.75">
      <c r="B14" s="85"/>
      <c r="C14" s="83" t="s">
        <v>124</v>
      </c>
      <c r="X14" s="91" t="s">
        <v>116</v>
      </c>
    </row>
    <row r="15" ht="12.75">
      <c r="B15" s="85"/>
    </row>
    <row r="16" spans="1:2" ht="12.75">
      <c r="A16" s="95"/>
      <c r="B16" s="85" t="s">
        <v>126</v>
      </c>
    </row>
    <row r="17" ht="12.75">
      <c r="C17" s="83" t="s">
        <v>127</v>
      </c>
    </row>
    <row r="18" ht="12.75">
      <c r="C18" s="83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84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17.57421875" style="0" customWidth="1"/>
    <col min="4" max="4" width="7.7109375" style="0" customWidth="1"/>
    <col min="5" max="5" width="7.140625" style="0" customWidth="1"/>
    <col min="6" max="6" width="8.28125" style="0" customWidth="1"/>
    <col min="7" max="7" width="2.140625" style="0" customWidth="1"/>
  </cols>
  <sheetData>
    <row r="1" spans="1:17" ht="22.5" customHeight="1">
      <c r="A1" s="79" t="s">
        <v>105</v>
      </c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8:17" ht="12.75"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2.75">
      <c r="A3" s="5" t="s">
        <v>35</v>
      </c>
      <c r="B3" s="6"/>
      <c r="C3" s="6"/>
      <c r="D3" s="62" t="s">
        <v>29</v>
      </c>
      <c r="E3" s="62" t="s">
        <v>30</v>
      </c>
      <c r="F3" s="62" t="s">
        <v>33</v>
      </c>
      <c r="G3" s="6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2:17" ht="12.75">
      <c r="B4" s="42" t="s">
        <v>91</v>
      </c>
      <c r="D4" s="71">
        <v>250</v>
      </c>
      <c r="E4" s="71">
        <v>250</v>
      </c>
      <c r="F4" s="63">
        <f>IF(D4&lt;&gt;0,E4/D4-1,"inf")</f>
        <v>0</v>
      </c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2:17" ht="12.75">
      <c r="B5" t="s">
        <v>34</v>
      </c>
      <c r="D5" s="71"/>
      <c r="E5" s="71"/>
      <c r="F5" s="63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2:17" ht="12.75">
      <c r="B6" s="42" t="s">
        <v>92</v>
      </c>
      <c r="D6" s="71">
        <v>1000</v>
      </c>
      <c r="E6" s="71">
        <v>1000</v>
      </c>
      <c r="F6" s="63">
        <f>IF(D6&lt;&gt;0,E6/D6-1,"inf")</f>
        <v>0</v>
      </c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2:17" ht="12.75">
      <c r="B7" s="42" t="s">
        <v>93</v>
      </c>
      <c r="D7" s="60">
        <f>P_fert*(1-Subsidy)</f>
        <v>1000</v>
      </c>
      <c r="E7" s="60">
        <f>P_fert2*(1-Subsidy2)</f>
        <v>1000</v>
      </c>
      <c r="F7" s="63">
        <f>IF(D7&lt;&gt;0,E7/D7-1,"inf")</f>
        <v>0</v>
      </c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ht="12.75">
      <c r="B8" s="69" t="s">
        <v>100</v>
      </c>
      <c r="D8" s="60"/>
      <c r="E8" s="60"/>
      <c r="F8" s="63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ht="12.75">
      <c r="B9" s="69" t="s">
        <v>101</v>
      </c>
      <c r="D9" s="72">
        <v>0</v>
      </c>
      <c r="E9" s="72">
        <v>0</v>
      </c>
      <c r="F9" s="63" t="str">
        <f>IF(D9&lt;&gt;0,E9/D9-1,"inf")</f>
        <v>inf</v>
      </c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2:19" ht="12.75">
      <c r="B10" s="69" t="s">
        <v>102</v>
      </c>
      <c r="D10" s="72">
        <v>0</v>
      </c>
      <c r="E10" s="72">
        <v>0</v>
      </c>
      <c r="F10" s="63" t="str">
        <f>IF(D10&lt;&gt;0,E10/D10-1,"inf")</f>
        <v>inf</v>
      </c>
      <c r="H10" s="77"/>
      <c r="I10" s="77"/>
      <c r="J10" s="77"/>
      <c r="K10" s="77"/>
      <c r="L10" s="77"/>
      <c r="M10" s="77"/>
      <c r="N10" s="77"/>
      <c r="O10" s="77"/>
      <c r="P10" s="77"/>
      <c r="Q10" s="77"/>
      <c r="S10" s="96"/>
    </row>
    <row r="11" spans="2:17" ht="12.75">
      <c r="B11" t="s">
        <v>0</v>
      </c>
      <c r="D11" s="92">
        <v>2</v>
      </c>
      <c r="E11" s="92">
        <v>2</v>
      </c>
      <c r="F11" s="63">
        <f>IF(D11&lt;&gt;0,E11/D11-1,"inf")</f>
        <v>0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2:17" ht="12.75">
      <c r="B12" t="s">
        <v>1</v>
      </c>
      <c r="D12" s="73"/>
      <c r="E12" s="73"/>
      <c r="F12" s="63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2:17" ht="12.75">
      <c r="B13" t="s">
        <v>2</v>
      </c>
      <c r="D13" s="73">
        <v>800</v>
      </c>
      <c r="E13" s="73">
        <v>800</v>
      </c>
      <c r="F13" s="63">
        <f>IF(D13&lt;&gt;0,E13/D13-1,"inf")</f>
        <v>0</v>
      </c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2:17" ht="12.75">
      <c r="B14" t="s">
        <v>3</v>
      </c>
      <c r="D14" s="73">
        <v>25</v>
      </c>
      <c r="E14" s="73">
        <v>25</v>
      </c>
      <c r="F14" s="63">
        <f>IF(D14&lt;&gt;0,E14/D14-1,"inf")</f>
        <v>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2.75">
      <c r="B15" s="69" t="s">
        <v>4</v>
      </c>
      <c r="D15" s="74">
        <v>-0.25</v>
      </c>
      <c r="E15" s="74">
        <v>-0.25</v>
      </c>
      <c r="F15" s="63">
        <f>IF(D15&lt;&gt;0,E15/D15-1,"inf")</f>
        <v>0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2:17" ht="12.75">
      <c r="B16" s="42" t="s">
        <v>94</v>
      </c>
      <c r="D16" s="75">
        <v>100</v>
      </c>
      <c r="E16" s="64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2:17" ht="12.75">
      <c r="B17" t="s">
        <v>13</v>
      </c>
      <c r="D17" s="76">
        <v>0.3</v>
      </c>
      <c r="E17" s="64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2:17" ht="12.75">
      <c r="B18" t="s">
        <v>14</v>
      </c>
      <c r="D18" s="76">
        <v>-0.3</v>
      </c>
      <c r="E18" s="64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5:17" ht="12.75">
      <c r="E19" s="61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t="12.75">
      <c r="A20" s="5" t="s">
        <v>15</v>
      </c>
      <c r="B20" s="6"/>
      <c r="C20" s="6"/>
      <c r="D20" s="7" t="s">
        <v>29</v>
      </c>
      <c r="E20" s="8" t="s">
        <v>30</v>
      </c>
      <c r="F20" s="8" t="s">
        <v>33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ht="12.75">
      <c r="A21" s="10"/>
      <c r="B21" s="44" t="s">
        <v>90</v>
      </c>
      <c r="C21" s="10"/>
      <c r="D21" s="80">
        <f>((P_fert_sub/P_crop)*VCratio-FRC_b)/(2*FRC_c)</f>
        <v>34</v>
      </c>
      <c r="E21" s="80">
        <f>((P_fert_sub2/P_crop2)*VCratio2-FRC_b2)/(2*FRC_c2)</f>
        <v>34</v>
      </c>
      <c r="F21" s="81">
        <f aca="true" t="shared" si="0" ref="F21:F26">IF(D21&lt;&gt;0,E21/D21-1,"inf")</f>
        <v>0</v>
      </c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2.75">
      <c r="A22" s="10"/>
      <c r="B22" s="59" t="s">
        <v>89</v>
      </c>
      <c r="D22" s="80">
        <f>(D25/D24)*D_fert*(P_fert-P_fert_sub)</f>
        <v>0</v>
      </c>
      <c r="E22" s="80">
        <f>(E25/E24)*D_fert2*(P_fert2-P_fert_sub2)</f>
        <v>0</v>
      </c>
      <c r="F22" s="81" t="str">
        <f t="shared" si="0"/>
        <v>inf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12.75">
      <c r="A23" s="10"/>
      <c r="B23" s="10" t="s">
        <v>62</v>
      </c>
      <c r="C23" s="10"/>
      <c r="D23" s="80">
        <f>FRC_b+2*FRC_c*D_fert</f>
        <v>8</v>
      </c>
      <c r="E23" s="80">
        <f>FRC_b2+2*FRC_c2*D_fert2</f>
        <v>8</v>
      </c>
      <c r="F23" s="81">
        <f t="shared" si="0"/>
        <v>0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2.75">
      <c r="A24" s="10"/>
      <c r="B24" s="30" t="s">
        <v>64</v>
      </c>
      <c r="D24" s="80">
        <f>Yield</f>
        <v>1361</v>
      </c>
      <c r="E24" s="80">
        <f>Yield2</f>
        <v>1361</v>
      </c>
      <c r="F24" s="82">
        <f t="shared" si="0"/>
        <v>0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2.75">
      <c r="A25" s="10"/>
      <c r="B25" s="10" t="s">
        <v>72</v>
      </c>
      <c r="C25" s="10"/>
      <c r="D25" s="80">
        <f>'Data (before)'!O49</f>
        <v>100.00000000000004</v>
      </c>
      <c r="E25" s="80">
        <f>'Data (after)'!N49</f>
        <v>100.00000000000004</v>
      </c>
      <c r="F25" s="82">
        <f t="shared" si="0"/>
        <v>0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12.75">
      <c r="A26" s="10"/>
      <c r="B26" s="10" t="s">
        <v>73</v>
      </c>
      <c r="C26" s="10"/>
      <c r="D26" s="80">
        <f>'Data (before)'!O48</f>
        <v>250.0000000000001</v>
      </c>
      <c r="E26" s="80">
        <f>'Data (after)'!N48</f>
        <v>250.0000000000001</v>
      </c>
      <c r="F26" s="81">
        <f t="shared" si="0"/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2.75">
      <c r="A27" s="10"/>
      <c r="B27" s="58" t="s">
        <v>95</v>
      </c>
      <c r="C27" s="10"/>
      <c r="D27" s="10"/>
      <c r="E27" s="10"/>
      <c r="F27" s="11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2.75">
      <c r="A28" s="10"/>
      <c r="B28" s="58" t="s">
        <v>96</v>
      </c>
      <c r="C28" s="10"/>
      <c r="D28" s="10"/>
      <c r="E28" s="10"/>
      <c r="F28" s="93">
        <f>(D26-E26)*(D25+E25)/2</f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2.75">
      <c r="A29" s="10"/>
      <c r="B29" s="58" t="s">
        <v>97</v>
      </c>
      <c r="C29" s="10"/>
      <c r="D29" s="10"/>
      <c r="E29" s="10"/>
      <c r="F29" s="93">
        <f>'Data (after)'!S35</f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t="12.75">
      <c r="A30" s="10"/>
      <c r="B30" s="30" t="s">
        <v>88</v>
      </c>
      <c r="C30" s="10"/>
      <c r="D30" s="10"/>
      <c r="E30" s="10"/>
      <c r="F30" s="93">
        <f>F28+F29</f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12.75">
      <c r="A31" s="10"/>
      <c r="B31" s="70" t="s">
        <v>103</v>
      </c>
      <c r="C31" s="10"/>
      <c r="D31" s="10"/>
      <c r="E31" s="10"/>
      <c r="F31" s="93">
        <f>E22-D22</f>
        <v>0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12.75">
      <c r="A32" s="10"/>
      <c r="B32" s="70" t="s">
        <v>104</v>
      </c>
      <c r="C32" s="10"/>
      <c r="D32" s="10"/>
      <c r="E32" s="10"/>
      <c r="F32" s="93">
        <f>E10*E22-D10*D22</f>
        <v>0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ht="12.75">
      <c r="A33" s="12"/>
      <c r="B33" s="57" t="s">
        <v>98</v>
      </c>
      <c r="C33" s="12"/>
      <c r="D33" s="12"/>
      <c r="E33" s="12"/>
      <c r="F33" s="94">
        <f>F30-F31-F32</f>
        <v>0</v>
      </c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5:17" ht="12.75">
      <c r="E34" s="2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5:17" ht="12.75">
      <c r="E35" s="2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5:17" ht="12.75">
      <c r="E36" s="2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5:17" ht="12.75">
      <c r="E37" s="2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3:17" ht="12.75">
      <c r="C38" s="42"/>
      <c r="F38" s="60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5:17" ht="12.75">
      <c r="E39" s="1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5:17" ht="12.75">
      <c r="E40" s="1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5:17" ht="12.75">
      <c r="E41" s="1"/>
      <c r="H41" s="77"/>
      <c r="I41" s="77"/>
      <c r="J41" s="77"/>
      <c r="K41" s="77"/>
      <c r="L41" s="77"/>
      <c r="M41" s="77"/>
      <c r="N41" s="77"/>
      <c r="O41" s="77"/>
      <c r="P41" s="77"/>
      <c r="Q41" s="77"/>
    </row>
    <row r="42" spans="8:17" ht="12.75"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5:17" ht="12.75">
      <c r="E43" s="3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5:17" ht="12.75">
      <c r="E44" s="3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5:17" ht="12.75">
      <c r="E45" s="3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5:17" ht="12.75">
      <c r="E46" s="3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5:17" ht="12.75">
      <c r="E47" s="3"/>
      <c r="H47" s="77"/>
      <c r="I47" s="77"/>
      <c r="J47" s="77"/>
      <c r="K47" s="77"/>
      <c r="L47" s="77"/>
      <c r="M47" s="77"/>
      <c r="N47" s="77"/>
      <c r="O47" s="77"/>
      <c r="P47" s="77"/>
      <c r="Q47" s="77"/>
    </row>
    <row r="48" spans="5:17" ht="12.75">
      <c r="E48" s="3"/>
      <c r="H48" s="77"/>
      <c r="I48" s="77"/>
      <c r="J48" s="77"/>
      <c r="K48" s="77"/>
      <c r="L48" s="77"/>
      <c r="M48" s="77"/>
      <c r="N48" s="77"/>
      <c r="O48" s="77"/>
      <c r="P48" s="77"/>
      <c r="Q48" s="77"/>
    </row>
    <row r="49" spans="5:17" ht="12.75">
      <c r="E49" s="3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5:17" ht="12.75">
      <c r="E50" s="3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5:17" ht="12.75">
      <c r="E51" s="3"/>
      <c r="H51" s="77"/>
      <c r="I51" s="77"/>
      <c r="J51" s="77"/>
      <c r="K51" s="77"/>
      <c r="L51" s="77"/>
      <c r="M51" s="77"/>
      <c r="N51" s="77"/>
      <c r="O51" s="77"/>
      <c r="P51" s="77"/>
      <c r="Q51" s="77"/>
    </row>
    <row r="52" spans="5:17" ht="12.75">
      <c r="E52" s="3"/>
      <c r="H52" s="77"/>
      <c r="I52" s="77"/>
      <c r="J52" s="77"/>
      <c r="K52" s="77"/>
      <c r="L52" s="77"/>
      <c r="M52" s="77"/>
      <c r="N52" s="77"/>
      <c r="O52" s="77"/>
      <c r="P52" s="77"/>
      <c r="Q52" s="77"/>
    </row>
    <row r="53" spans="1:17" ht="12.75">
      <c r="A53" s="42"/>
      <c r="E53" s="3"/>
      <c r="H53" s="77"/>
      <c r="I53" s="77"/>
      <c r="J53" s="77"/>
      <c r="K53" s="77"/>
      <c r="L53" s="77"/>
      <c r="M53" s="77"/>
      <c r="N53" s="77"/>
      <c r="O53" s="77"/>
      <c r="P53" s="77"/>
      <c r="Q53" s="77"/>
    </row>
    <row r="54" spans="5:17" ht="12.75">
      <c r="E54" s="3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5:17" ht="12.75">
      <c r="E55" s="3"/>
      <c r="H55" s="77"/>
      <c r="I55" s="77"/>
      <c r="J55" s="77"/>
      <c r="K55" s="77"/>
      <c r="L55" s="77"/>
      <c r="M55" s="77"/>
      <c r="N55" s="77"/>
      <c r="O55" s="77"/>
      <c r="P55" s="77"/>
      <c r="Q55" s="77"/>
    </row>
    <row r="56" spans="1:17" ht="12.75">
      <c r="A56" s="42"/>
      <c r="B56" s="42"/>
      <c r="E56" s="3"/>
      <c r="H56" s="77"/>
      <c r="I56" s="77"/>
      <c r="J56" s="77"/>
      <c r="K56" s="77"/>
      <c r="L56" s="77"/>
      <c r="M56" s="77"/>
      <c r="N56" s="77"/>
      <c r="O56" s="77"/>
      <c r="P56" s="77"/>
      <c r="Q56" s="77"/>
    </row>
    <row r="57" spans="1:17" ht="12.75">
      <c r="A57" s="1"/>
      <c r="B57" s="38"/>
      <c r="E57" s="3"/>
      <c r="H57" s="77"/>
      <c r="I57" s="77"/>
      <c r="J57" s="77"/>
      <c r="K57" s="77"/>
      <c r="L57" s="77"/>
      <c r="M57" s="77"/>
      <c r="N57" s="77"/>
      <c r="O57" s="77"/>
      <c r="P57" s="77"/>
      <c r="Q57" s="77"/>
    </row>
    <row r="58" spans="1:17" ht="12.75">
      <c r="A58" s="1"/>
      <c r="B58" s="38"/>
      <c r="E58" s="3"/>
      <c r="H58" s="77"/>
      <c r="I58" s="77"/>
      <c r="J58" s="77"/>
      <c r="K58" s="77"/>
      <c r="L58" s="77"/>
      <c r="M58" s="77"/>
      <c r="N58" s="77"/>
      <c r="O58" s="77"/>
      <c r="P58" s="77"/>
      <c r="Q58" s="77"/>
    </row>
    <row r="59" spans="5:17" ht="12.75">
      <c r="E59" s="3"/>
      <c r="H59" s="77"/>
      <c r="I59" s="77"/>
      <c r="J59" s="77"/>
      <c r="K59" s="77"/>
      <c r="L59" s="77"/>
      <c r="M59" s="77"/>
      <c r="N59" s="77"/>
      <c r="O59" s="77"/>
      <c r="P59" s="77"/>
      <c r="Q59" s="77"/>
    </row>
    <row r="60" spans="5:17" ht="12.75">
      <c r="E60" s="3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5:17" ht="12.75">
      <c r="E61" s="3"/>
      <c r="H61" s="77"/>
      <c r="I61" s="77"/>
      <c r="J61" s="77"/>
      <c r="K61" s="77"/>
      <c r="L61" s="77"/>
      <c r="M61" s="77"/>
      <c r="N61" s="77"/>
      <c r="O61" s="77"/>
      <c r="P61" s="77"/>
      <c r="Q61" s="77"/>
    </row>
    <row r="62" spans="5:17" ht="12.75">
      <c r="E62" s="3"/>
      <c r="H62" s="77"/>
      <c r="I62" s="77"/>
      <c r="J62" s="77"/>
      <c r="K62" s="77"/>
      <c r="L62" s="77"/>
      <c r="M62" s="77"/>
      <c r="N62" s="77"/>
      <c r="O62" s="77"/>
      <c r="P62" s="77"/>
      <c r="Q62" s="77"/>
    </row>
    <row r="63" spans="5:17" ht="12.75">
      <c r="E63" s="3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5:17" ht="12.75">
      <c r="E64" s="3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5:17" ht="12.75">
      <c r="E65" s="3"/>
      <c r="H65" s="77"/>
      <c r="I65" s="77"/>
      <c r="J65" s="77"/>
      <c r="K65" s="77"/>
      <c r="L65" s="77"/>
      <c r="M65" s="77"/>
      <c r="N65" s="77"/>
      <c r="O65" s="77"/>
      <c r="P65" s="77"/>
      <c r="Q65" s="77"/>
    </row>
    <row r="66" spans="5:17" ht="12.75">
      <c r="E66" s="3"/>
      <c r="H66" s="77"/>
      <c r="I66" s="77"/>
      <c r="J66" s="77"/>
      <c r="K66" s="77"/>
      <c r="L66" s="77"/>
      <c r="M66" s="77"/>
      <c r="N66" s="77"/>
      <c r="O66" s="77"/>
      <c r="P66" s="77"/>
      <c r="Q66" s="77"/>
    </row>
    <row r="67" spans="5:17" ht="12.75">
      <c r="E67" s="3"/>
      <c r="H67" s="77"/>
      <c r="I67" s="77"/>
      <c r="J67" s="77"/>
      <c r="K67" s="77"/>
      <c r="L67" s="77"/>
      <c r="M67" s="77"/>
      <c r="N67" s="77"/>
      <c r="O67" s="77"/>
      <c r="P67" s="77"/>
      <c r="Q67" s="77"/>
    </row>
    <row r="68" spans="5:17" ht="12.75">
      <c r="E68" s="3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5:17" ht="12.75">
      <c r="E69" s="3"/>
      <c r="H69" s="77"/>
      <c r="I69" s="77"/>
      <c r="J69" s="77"/>
      <c r="K69" s="77"/>
      <c r="L69" s="77"/>
      <c r="M69" s="77"/>
      <c r="N69" s="77"/>
      <c r="O69" s="77"/>
      <c r="P69" s="77"/>
      <c r="Q69" s="77"/>
    </row>
    <row r="70" spans="5:17" ht="12.75">
      <c r="E70" s="3"/>
      <c r="H70" s="77"/>
      <c r="I70" s="77"/>
      <c r="J70" s="77"/>
      <c r="K70" s="77"/>
      <c r="L70" s="77"/>
      <c r="M70" s="77"/>
      <c r="N70" s="77"/>
      <c r="O70" s="77"/>
      <c r="P70" s="77"/>
      <c r="Q70" s="77"/>
    </row>
    <row r="71" spans="5:17" ht="12.75">
      <c r="E71" s="3"/>
      <c r="H71" s="77"/>
      <c r="I71" s="77"/>
      <c r="J71" s="77"/>
      <c r="K71" s="77"/>
      <c r="L71" s="77"/>
      <c r="M71" s="77"/>
      <c r="N71" s="77"/>
      <c r="O71" s="77"/>
      <c r="P71" s="77"/>
      <c r="Q71" s="77"/>
    </row>
    <row r="72" spans="5:17" ht="12.75">
      <c r="E72" s="3"/>
      <c r="H72" s="77"/>
      <c r="I72" s="77"/>
      <c r="J72" s="77"/>
      <c r="K72" s="77"/>
      <c r="L72" s="77"/>
      <c r="M72" s="77"/>
      <c r="N72" s="77"/>
      <c r="O72" s="77"/>
      <c r="P72" s="77"/>
      <c r="Q72" s="77"/>
    </row>
    <row r="73" spans="5:17" ht="12.75">
      <c r="E73" s="3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="61" customFormat="1" ht="12.75">
      <c r="E74" s="78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99"/>
  <sheetViews>
    <sheetView zoomScalePageLayoutView="0" workbookViewId="0" topLeftCell="A1">
      <pane ySplit="7" topLeftCell="A38" activePane="bottomLeft" state="frozen"/>
      <selection pane="topLeft" activeCell="A1" sqref="A1"/>
      <selection pane="bottomLeft" activeCell="G40" sqref="G40"/>
    </sheetView>
  </sheetViews>
  <sheetFormatPr defaultColWidth="9.140625" defaultRowHeight="12.75"/>
  <cols>
    <col min="10" max="10" width="11.00390625" style="0" customWidth="1"/>
    <col min="11" max="11" width="10.8515625" style="0" customWidth="1"/>
    <col min="12" max="13" width="11.7109375" style="0" customWidth="1"/>
    <col min="14" max="14" width="12.57421875" style="0" customWidth="1"/>
    <col min="15" max="15" width="11.140625" style="0" customWidth="1"/>
  </cols>
  <sheetData>
    <row r="1" ht="22.5" customHeight="1">
      <c r="A1" s="79" t="s">
        <v>31</v>
      </c>
    </row>
    <row r="3" spans="1:15" ht="12.75">
      <c r="A3" s="13" t="s">
        <v>41</v>
      </c>
      <c r="B3" s="9"/>
      <c r="C3" s="9"/>
      <c r="D3" s="9"/>
      <c r="E3" s="9"/>
      <c r="F3" s="9"/>
      <c r="G3" s="9"/>
      <c r="H3" s="9"/>
      <c r="I3" s="14"/>
      <c r="J3" s="13" t="s">
        <v>42</v>
      </c>
      <c r="K3" s="9"/>
      <c r="L3" s="14"/>
      <c r="M3" s="13" t="s">
        <v>43</v>
      </c>
      <c r="N3" s="9"/>
      <c r="O3" s="14"/>
    </row>
    <row r="4" spans="1:15" ht="12.75">
      <c r="A4" s="15"/>
      <c r="B4" s="10"/>
      <c r="C4" s="10"/>
      <c r="D4" s="10"/>
      <c r="E4" s="10"/>
      <c r="F4" s="10"/>
      <c r="G4" s="10" t="s">
        <v>22</v>
      </c>
      <c r="H4" s="10"/>
      <c r="I4" s="16"/>
      <c r="J4" s="15"/>
      <c r="K4" s="10"/>
      <c r="L4" s="16"/>
      <c r="M4" s="15"/>
      <c r="N4" s="10"/>
      <c r="O4" s="16"/>
    </row>
    <row r="5" spans="1:15" ht="12.75">
      <c r="A5" s="15" t="s">
        <v>6</v>
      </c>
      <c r="B5" s="44" t="s">
        <v>51</v>
      </c>
      <c r="C5" s="10" t="s">
        <v>9</v>
      </c>
      <c r="D5" s="10" t="s">
        <v>19</v>
      </c>
      <c r="E5" s="10" t="s">
        <v>20</v>
      </c>
      <c r="F5" s="10" t="s">
        <v>12</v>
      </c>
      <c r="G5" s="10" t="s">
        <v>23</v>
      </c>
      <c r="H5" s="10" t="s">
        <v>5</v>
      </c>
      <c r="I5" s="16" t="s">
        <v>26</v>
      </c>
      <c r="J5" s="10" t="s">
        <v>27</v>
      </c>
      <c r="K5" s="10" t="s">
        <v>6</v>
      </c>
      <c r="L5" s="16" t="s">
        <v>6</v>
      </c>
      <c r="M5" s="32" t="s">
        <v>40</v>
      </c>
      <c r="N5" s="30" t="s">
        <v>40</v>
      </c>
      <c r="O5" s="33" t="s">
        <v>40</v>
      </c>
    </row>
    <row r="6" spans="1:15" ht="12.75">
      <c r="A6" s="17" t="s">
        <v>7</v>
      </c>
      <c r="B6" s="45" t="s">
        <v>7</v>
      </c>
      <c r="C6" s="18" t="s">
        <v>8</v>
      </c>
      <c r="D6" s="18" t="s">
        <v>10</v>
      </c>
      <c r="E6" s="18" t="s">
        <v>21</v>
      </c>
      <c r="F6" s="18" t="s">
        <v>11</v>
      </c>
      <c r="G6" s="18" t="s">
        <v>24</v>
      </c>
      <c r="H6" s="18" t="s">
        <v>25</v>
      </c>
      <c r="I6" s="19"/>
      <c r="J6" s="18" t="s">
        <v>28</v>
      </c>
      <c r="K6" s="18" t="s">
        <v>28</v>
      </c>
      <c r="L6" s="19" t="s">
        <v>38</v>
      </c>
      <c r="M6" s="34" t="s">
        <v>39</v>
      </c>
      <c r="N6" s="31" t="s">
        <v>28</v>
      </c>
      <c r="O6" s="35" t="s">
        <v>38</v>
      </c>
    </row>
    <row r="7" spans="1:15" ht="12.75">
      <c r="A7" s="17"/>
      <c r="B7" s="43"/>
      <c r="C7" s="18"/>
      <c r="D7" s="18"/>
      <c r="E7" s="18"/>
      <c r="F7" s="18"/>
      <c r="G7" s="18"/>
      <c r="H7" s="18"/>
      <c r="I7" s="19"/>
      <c r="J7" s="30" t="s">
        <v>36</v>
      </c>
      <c r="K7" s="10" t="s">
        <v>37</v>
      </c>
      <c r="L7" s="16" t="s">
        <v>37</v>
      </c>
      <c r="M7" s="15"/>
      <c r="N7" s="10" t="s">
        <v>37</v>
      </c>
      <c r="O7" s="16" t="s">
        <v>37</v>
      </c>
    </row>
    <row r="8" spans="1:15" ht="12.75">
      <c r="A8" s="17"/>
      <c r="B8" s="43"/>
      <c r="C8" s="18"/>
      <c r="D8" s="18"/>
      <c r="E8" s="18"/>
      <c r="F8" s="18"/>
      <c r="G8" s="18"/>
      <c r="H8" s="18"/>
      <c r="I8" s="19"/>
      <c r="J8" s="30"/>
      <c r="K8" s="10"/>
      <c r="L8" s="16"/>
      <c r="M8" s="15"/>
      <c r="N8" s="10"/>
      <c r="O8" s="16"/>
    </row>
    <row r="9" spans="1:16" ht="12.75">
      <c r="A9" s="17">
        <v>0</v>
      </c>
      <c r="B9" s="37">
        <f aca="true" t="shared" si="0" ref="B9:B40">FRC_a+FRC_b*A9+FRC_c*A9^2</f>
        <v>800</v>
      </c>
      <c r="C9" s="20">
        <f>(P_crop/1000)*(FRC_a+FRC_b*A9+FRC_c*A9^2)</f>
        <v>200</v>
      </c>
      <c r="D9" s="21">
        <f aca="true" t="shared" si="1" ref="D9:D40">A9*P_fert_sub/1000</f>
        <v>0</v>
      </c>
      <c r="E9" s="21">
        <f>C9-D9</f>
        <v>200</v>
      </c>
      <c r="F9" s="20"/>
      <c r="G9" s="10"/>
      <c r="H9" s="22"/>
      <c r="I9" s="23"/>
      <c r="J9" s="37">
        <v>5</v>
      </c>
      <c r="K9" s="37">
        <f aca="true" t="shared" si="2" ref="K9:K20">(J9-FDC_a)/FDC_b</f>
        <v>2812.5</v>
      </c>
      <c r="L9" s="16">
        <f aca="true" t="shared" si="3" ref="L9:L20">P_fert_sub</f>
        <v>1000</v>
      </c>
      <c r="M9" s="24">
        <v>5</v>
      </c>
      <c r="N9" s="40"/>
      <c r="O9" s="47"/>
      <c r="P9" s="10"/>
    </row>
    <row r="10" spans="1:16" ht="12.75">
      <c r="A10" s="24">
        <v>1</v>
      </c>
      <c r="B10" s="37">
        <f t="shared" si="0"/>
        <v>824.75</v>
      </c>
      <c r="C10" s="20">
        <f aca="true" t="shared" si="4" ref="C10:C40">(P_crop/1000)*(FRC_a+FRC_b*A10+FRC_c*A10^2)</f>
        <v>206.1875</v>
      </c>
      <c r="D10" s="21">
        <f t="shared" si="1"/>
        <v>1</v>
      </c>
      <c r="E10" s="21">
        <f aca="true" t="shared" si="5" ref="E10:E40">C10-D10</f>
        <v>205.1875</v>
      </c>
      <c r="F10" s="20">
        <f>(C10-C9)/(D10-D9)</f>
        <v>6.1875</v>
      </c>
      <c r="G10" s="10">
        <f aca="true" t="shared" si="6" ref="G10:G41">IF(F10&gt;=0,IF(F11&lt;0,C10,-1),-1)</f>
        <v>-1</v>
      </c>
      <c r="H10" s="10">
        <f aca="true" t="shared" si="7" ref="H10:H41">IF(F10&gt;=1,IF(F11&lt;1,C10,-1),-1)</f>
        <v>-1</v>
      </c>
      <c r="I10" s="16">
        <f aca="true" t="shared" si="8" ref="I10:I41">IF(F10&gt;=VCratio,IF(F11&lt;VCratio,C10,-1),-1)</f>
        <v>-1</v>
      </c>
      <c r="J10" s="37">
        <f>J9+5</f>
        <v>10</v>
      </c>
      <c r="K10" s="37">
        <f t="shared" si="2"/>
        <v>2500</v>
      </c>
      <c r="L10" s="16">
        <f t="shared" si="3"/>
        <v>1000</v>
      </c>
      <c r="M10" s="24">
        <f>M9+5</f>
        <v>10</v>
      </c>
      <c r="N10" s="40"/>
      <c r="O10" s="47"/>
      <c r="P10" s="10"/>
    </row>
    <row r="11" spans="1:16" ht="12.75">
      <c r="A11" s="24">
        <f aca="true" t="shared" si="9" ref="A11:A42">A10+1</f>
        <v>2</v>
      </c>
      <c r="B11" s="37">
        <f t="shared" si="0"/>
        <v>849</v>
      </c>
      <c r="C11" s="20">
        <f t="shared" si="4"/>
        <v>212.25</v>
      </c>
      <c r="D11" s="21">
        <f t="shared" si="1"/>
        <v>2</v>
      </c>
      <c r="E11" s="21">
        <f t="shared" si="5"/>
        <v>210.25</v>
      </c>
      <c r="F11" s="20">
        <f aca="true" t="shared" si="10" ref="F11:F41">(C11-C10)/(D11-D10)</f>
        <v>6.0625</v>
      </c>
      <c r="G11" s="10">
        <f t="shared" si="6"/>
        <v>-1</v>
      </c>
      <c r="H11" s="10">
        <f t="shared" si="7"/>
        <v>-1</v>
      </c>
      <c r="I11" s="16">
        <f t="shared" si="8"/>
        <v>-1</v>
      </c>
      <c r="J11" s="37">
        <f aca="true" t="shared" si="11" ref="J11:J20">J10+5</f>
        <v>15</v>
      </c>
      <c r="K11" s="37">
        <f t="shared" si="2"/>
        <v>2187.5</v>
      </c>
      <c r="L11" s="16">
        <f t="shared" si="3"/>
        <v>1000</v>
      </c>
      <c r="M11" s="24">
        <f aca="true" t="shared" si="12" ref="M11:M33">M10+5</f>
        <v>15</v>
      </c>
      <c r="N11" s="40"/>
      <c r="O11" s="47"/>
      <c r="P11" s="10"/>
    </row>
    <row r="12" spans="1:16" ht="12.75">
      <c r="A12" s="24">
        <f t="shared" si="9"/>
        <v>3</v>
      </c>
      <c r="B12" s="37">
        <f t="shared" si="0"/>
        <v>872.75</v>
      </c>
      <c r="C12" s="20">
        <f t="shared" si="4"/>
        <v>218.1875</v>
      </c>
      <c r="D12" s="21">
        <f t="shared" si="1"/>
        <v>3</v>
      </c>
      <c r="E12" s="21">
        <f t="shared" si="5"/>
        <v>215.1875</v>
      </c>
      <c r="F12" s="20">
        <f t="shared" si="10"/>
        <v>5.9375</v>
      </c>
      <c r="G12" s="10">
        <f t="shared" si="6"/>
        <v>-1</v>
      </c>
      <c r="H12" s="10">
        <f t="shared" si="7"/>
        <v>-1</v>
      </c>
      <c r="I12" s="16">
        <f t="shared" si="8"/>
        <v>-1</v>
      </c>
      <c r="J12" s="37">
        <f t="shared" si="11"/>
        <v>20</v>
      </c>
      <c r="K12" s="37">
        <f t="shared" si="2"/>
        <v>1875</v>
      </c>
      <c r="L12" s="16">
        <f t="shared" si="3"/>
        <v>1000</v>
      </c>
      <c r="M12" s="24">
        <f t="shared" si="12"/>
        <v>20</v>
      </c>
      <c r="N12" s="40"/>
      <c r="O12" s="47"/>
      <c r="P12" s="10"/>
    </row>
    <row r="13" spans="1:16" ht="12.75">
      <c r="A13" s="24">
        <f t="shared" si="9"/>
        <v>4</v>
      </c>
      <c r="B13" s="37">
        <f t="shared" si="0"/>
        <v>896</v>
      </c>
      <c r="C13" s="20">
        <f t="shared" si="4"/>
        <v>224</v>
      </c>
      <c r="D13" s="21">
        <f t="shared" si="1"/>
        <v>4</v>
      </c>
      <c r="E13" s="21">
        <f t="shared" si="5"/>
        <v>220</v>
      </c>
      <c r="F13" s="20">
        <f t="shared" si="10"/>
        <v>5.8125</v>
      </c>
      <c r="G13" s="10">
        <f t="shared" si="6"/>
        <v>-1</v>
      </c>
      <c r="H13" s="10">
        <f t="shared" si="7"/>
        <v>-1</v>
      </c>
      <c r="I13" s="16">
        <f t="shared" si="8"/>
        <v>-1</v>
      </c>
      <c r="J13" s="37">
        <f t="shared" si="11"/>
        <v>25</v>
      </c>
      <c r="K13" s="37">
        <f t="shared" si="2"/>
        <v>1562.5</v>
      </c>
      <c r="L13" s="16">
        <f t="shared" si="3"/>
        <v>1000</v>
      </c>
      <c r="M13" s="24">
        <f t="shared" si="12"/>
        <v>25</v>
      </c>
      <c r="N13" s="40"/>
      <c r="O13" s="47"/>
      <c r="P13" s="10"/>
    </row>
    <row r="14" spans="1:16" ht="12.75">
      <c r="A14" s="24">
        <f t="shared" si="9"/>
        <v>5</v>
      </c>
      <c r="B14" s="37">
        <f t="shared" si="0"/>
        <v>918.75</v>
      </c>
      <c r="C14" s="20">
        <f t="shared" si="4"/>
        <v>229.6875</v>
      </c>
      <c r="D14" s="21">
        <f t="shared" si="1"/>
        <v>5</v>
      </c>
      <c r="E14" s="21">
        <f t="shared" si="5"/>
        <v>224.6875</v>
      </c>
      <c r="F14" s="20">
        <f t="shared" si="10"/>
        <v>5.6875</v>
      </c>
      <c r="G14" s="10">
        <f t="shared" si="6"/>
        <v>-1</v>
      </c>
      <c r="H14" s="10">
        <f t="shared" si="7"/>
        <v>-1</v>
      </c>
      <c r="I14" s="16">
        <f t="shared" si="8"/>
        <v>-1</v>
      </c>
      <c r="J14" s="37">
        <f t="shared" si="11"/>
        <v>30</v>
      </c>
      <c r="K14" s="37">
        <f t="shared" si="2"/>
        <v>1250</v>
      </c>
      <c r="L14" s="16">
        <f t="shared" si="3"/>
        <v>1000</v>
      </c>
      <c r="M14" s="24">
        <f t="shared" si="12"/>
        <v>30</v>
      </c>
      <c r="N14" s="40"/>
      <c r="O14" s="47"/>
      <c r="P14" s="10"/>
    </row>
    <row r="15" spans="1:16" ht="12.75">
      <c r="A15" s="24">
        <f t="shared" si="9"/>
        <v>6</v>
      </c>
      <c r="B15" s="37">
        <f t="shared" si="0"/>
        <v>941</v>
      </c>
      <c r="C15" s="20">
        <f t="shared" si="4"/>
        <v>235.25</v>
      </c>
      <c r="D15" s="21">
        <f t="shared" si="1"/>
        <v>6</v>
      </c>
      <c r="E15" s="21">
        <f t="shared" si="5"/>
        <v>229.25</v>
      </c>
      <c r="F15" s="20">
        <f t="shared" si="10"/>
        <v>5.5625</v>
      </c>
      <c r="G15" s="10">
        <f t="shared" si="6"/>
        <v>-1</v>
      </c>
      <c r="H15" s="10">
        <f t="shared" si="7"/>
        <v>-1</v>
      </c>
      <c r="I15" s="16">
        <f t="shared" si="8"/>
        <v>-1</v>
      </c>
      <c r="J15" s="37">
        <f t="shared" si="11"/>
        <v>35</v>
      </c>
      <c r="K15" s="37">
        <f t="shared" si="2"/>
        <v>937.5</v>
      </c>
      <c r="L15" s="16">
        <f t="shared" si="3"/>
        <v>1000</v>
      </c>
      <c r="M15" s="24">
        <f t="shared" si="12"/>
        <v>35</v>
      </c>
      <c r="N15" s="40"/>
      <c r="O15" s="47"/>
      <c r="P15" s="10"/>
    </row>
    <row r="16" spans="1:16" ht="12.75">
      <c r="A16" s="24">
        <f t="shared" si="9"/>
        <v>7</v>
      </c>
      <c r="B16" s="37">
        <f t="shared" si="0"/>
        <v>962.75</v>
      </c>
      <c r="C16" s="20">
        <f t="shared" si="4"/>
        <v>240.6875</v>
      </c>
      <c r="D16" s="21">
        <f t="shared" si="1"/>
        <v>7</v>
      </c>
      <c r="E16" s="21">
        <f t="shared" si="5"/>
        <v>233.6875</v>
      </c>
      <c r="F16" s="20">
        <f t="shared" si="10"/>
        <v>5.4375</v>
      </c>
      <c r="G16" s="10">
        <f t="shared" si="6"/>
        <v>-1</v>
      </c>
      <c r="H16" s="10">
        <f t="shared" si="7"/>
        <v>-1</v>
      </c>
      <c r="I16" s="16">
        <f t="shared" si="8"/>
        <v>-1</v>
      </c>
      <c r="J16" s="37">
        <f t="shared" si="11"/>
        <v>40</v>
      </c>
      <c r="K16" s="37">
        <f t="shared" si="2"/>
        <v>625</v>
      </c>
      <c r="L16" s="16">
        <f t="shared" si="3"/>
        <v>1000</v>
      </c>
      <c r="M16" s="24">
        <f t="shared" si="12"/>
        <v>40</v>
      </c>
      <c r="N16" s="40"/>
      <c r="O16" s="47"/>
      <c r="P16" s="10"/>
    </row>
    <row r="17" spans="1:16" ht="12.75">
      <c r="A17" s="24">
        <f t="shared" si="9"/>
        <v>8</v>
      </c>
      <c r="B17" s="37">
        <f t="shared" si="0"/>
        <v>984</v>
      </c>
      <c r="C17" s="20">
        <f t="shared" si="4"/>
        <v>246</v>
      </c>
      <c r="D17" s="21">
        <f t="shared" si="1"/>
        <v>8</v>
      </c>
      <c r="E17" s="21">
        <f t="shared" si="5"/>
        <v>238</v>
      </c>
      <c r="F17" s="20">
        <f t="shared" si="10"/>
        <v>5.3125</v>
      </c>
      <c r="G17" s="10">
        <f t="shared" si="6"/>
        <v>-1</v>
      </c>
      <c r="H17" s="10">
        <f t="shared" si="7"/>
        <v>-1</v>
      </c>
      <c r="I17" s="16">
        <f t="shared" si="8"/>
        <v>-1</v>
      </c>
      <c r="J17" s="37">
        <f t="shared" si="11"/>
        <v>45</v>
      </c>
      <c r="K17" s="37">
        <f t="shared" si="2"/>
        <v>312.5</v>
      </c>
      <c r="L17" s="16">
        <f t="shared" si="3"/>
        <v>1000</v>
      </c>
      <c r="M17" s="24">
        <f t="shared" si="12"/>
        <v>45</v>
      </c>
      <c r="N17" s="40"/>
      <c r="O17" s="47"/>
      <c r="P17" s="10"/>
    </row>
    <row r="18" spans="1:16" ht="12.75">
      <c r="A18" s="24">
        <f t="shared" si="9"/>
        <v>9</v>
      </c>
      <c r="B18" s="37">
        <f t="shared" si="0"/>
        <v>1004.75</v>
      </c>
      <c r="C18" s="20">
        <f t="shared" si="4"/>
        <v>251.1875</v>
      </c>
      <c r="D18" s="21">
        <f t="shared" si="1"/>
        <v>9</v>
      </c>
      <c r="E18" s="21">
        <f t="shared" si="5"/>
        <v>242.1875</v>
      </c>
      <c r="F18" s="20">
        <f t="shared" si="10"/>
        <v>5.1875</v>
      </c>
      <c r="G18" s="10">
        <f t="shared" si="6"/>
        <v>-1</v>
      </c>
      <c r="H18" s="10">
        <f t="shared" si="7"/>
        <v>-1</v>
      </c>
      <c r="I18" s="16">
        <f t="shared" si="8"/>
        <v>-1</v>
      </c>
      <c r="J18" s="37">
        <f t="shared" si="11"/>
        <v>50</v>
      </c>
      <c r="K18" s="37">
        <f t="shared" si="2"/>
        <v>0</v>
      </c>
      <c r="L18" s="16">
        <f t="shared" si="3"/>
        <v>1000</v>
      </c>
      <c r="M18" s="24">
        <f t="shared" si="12"/>
        <v>50</v>
      </c>
      <c r="N18" s="40"/>
      <c r="O18" s="47"/>
      <c r="P18" s="10"/>
    </row>
    <row r="19" spans="1:16" ht="12.75">
      <c r="A19" s="24">
        <f t="shared" si="9"/>
        <v>10</v>
      </c>
      <c r="B19" s="37">
        <f t="shared" si="0"/>
        <v>1025</v>
      </c>
      <c r="C19" s="20">
        <f t="shared" si="4"/>
        <v>256.25</v>
      </c>
      <c r="D19" s="21">
        <f t="shared" si="1"/>
        <v>10</v>
      </c>
      <c r="E19" s="21">
        <f t="shared" si="5"/>
        <v>246.25</v>
      </c>
      <c r="F19" s="20">
        <f t="shared" si="10"/>
        <v>5.0625</v>
      </c>
      <c r="G19" s="10">
        <f t="shared" si="6"/>
        <v>-1</v>
      </c>
      <c r="H19" s="10">
        <f t="shared" si="7"/>
        <v>-1</v>
      </c>
      <c r="I19" s="16">
        <f t="shared" si="8"/>
        <v>-1</v>
      </c>
      <c r="J19" s="37">
        <f t="shared" si="11"/>
        <v>55</v>
      </c>
      <c r="K19" s="37">
        <f t="shared" si="2"/>
        <v>-312.5</v>
      </c>
      <c r="L19" s="16">
        <f t="shared" si="3"/>
        <v>1000</v>
      </c>
      <c r="M19" s="24">
        <f t="shared" si="12"/>
        <v>55</v>
      </c>
      <c r="N19" s="40"/>
      <c r="O19" s="47"/>
      <c r="P19" s="10"/>
    </row>
    <row r="20" spans="1:16" ht="12.75">
      <c r="A20" s="24">
        <f t="shared" si="9"/>
        <v>11</v>
      </c>
      <c r="B20" s="37">
        <f t="shared" si="0"/>
        <v>1044.75</v>
      </c>
      <c r="C20" s="20">
        <f t="shared" si="4"/>
        <v>261.1875</v>
      </c>
      <c r="D20" s="21">
        <f t="shared" si="1"/>
        <v>11</v>
      </c>
      <c r="E20" s="21">
        <f t="shared" si="5"/>
        <v>250.1875</v>
      </c>
      <c r="F20" s="20">
        <f t="shared" si="10"/>
        <v>4.9375</v>
      </c>
      <c r="G20" s="10">
        <f t="shared" si="6"/>
        <v>-1</v>
      </c>
      <c r="H20" s="10">
        <f t="shared" si="7"/>
        <v>-1</v>
      </c>
      <c r="I20" s="16">
        <f t="shared" si="8"/>
        <v>-1</v>
      </c>
      <c r="J20" s="37">
        <f t="shared" si="11"/>
        <v>60</v>
      </c>
      <c r="K20" s="37">
        <f t="shared" si="2"/>
        <v>-625</v>
      </c>
      <c r="L20" s="16">
        <f t="shared" si="3"/>
        <v>1000</v>
      </c>
      <c r="M20" s="24">
        <f t="shared" si="12"/>
        <v>60</v>
      </c>
      <c r="N20" s="40"/>
      <c r="O20" s="47"/>
      <c r="P20" s="10"/>
    </row>
    <row r="21" spans="1:16" ht="12.75">
      <c r="A21" s="24">
        <f t="shared" si="9"/>
        <v>12</v>
      </c>
      <c r="B21" s="37">
        <f t="shared" si="0"/>
        <v>1064</v>
      </c>
      <c r="C21" s="20">
        <f t="shared" si="4"/>
        <v>266</v>
      </c>
      <c r="D21" s="21">
        <f t="shared" si="1"/>
        <v>12</v>
      </c>
      <c r="E21" s="21">
        <f t="shared" si="5"/>
        <v>254</v>
      </c>
      <c r="F21" s="20">
        <f t="shared" si="10"/>
        <v>4.8125</v>
      </c>
      <c r="G21" s="10">
        <f t="shared" si="6"/>
        <v>-1</v>
      </c>
      <c r="H21" s="10">
        <f t="shared" si="7"/>
        <v>-1</v>
      </c>
      <c r="I21" s="16">
        <f t="shared" si="8"/>
        <v>-1</v>
      </c>
      <c r="J21" s="20"/>
      <c r="K21" s="20"/>
      <c r="L21" s="16"/>
      <c r="M21" s="24">
        <f t="shared" si="12"/>
        <v>65</v>
      </c>
      <c r="N21" s="40"/>
      <c r="O21" s="47"/>
      <c r="P21" s="10"/>
    </row>
    <row r="22" spans="1:16" ht="12.75">
      <c r="A22" s="24">
        <f t="shared" si="9"/>
        <v>13</v>
      </c>
      <c r="B22" s="37">
        <f t="shared" si="0"/>
        <v>1082.75</v>
      </c>
      <c r="C22" s="20">
        <f t="shared" si="4"/>
        <v>270.6875</v>
      </c>
      <c r="D22" s="21">
        <f t="shared" si="1"/>
        <v>13</v>
      </c>
      <c r="E22" s="21">
        <f t="shared" si="5"/>
        <v>257.6875</v>
      </c>
      <c r="F22" s="20">
        <f t="shared" si="10"/>
        <v>4.6875</v>
      </c>
      <c r="G22" s="10">
        <f t="shared" si="6"/>
        <v>-1</v>
      </c>
      <c r="H22" s="10">
        <f t="shared" si="7"/>
        <v>-1</v>
      </c>
      <c r="I22" s="16">
        <f t="shared" si="8"/>
        <v>-1</v>
      </c>
      <c r="J22" s="20"/>
      <c r="K22" s="20"/>
      <c r="L22" s="16"/>
      <c r="M22" s="24">
        <f t="shared" si="12"/>
        <v>70</v>
      </c>
      <c r="N22" s="40"/>
      <c r="O22" s="47"/>
      <c r="P22" s="10"/>
    </row>
    <row r="23" spans="1:16" ht="12.75">
      <c r="A23" s="24">
        <f t="shared" si="9"/>
        <v>14</v>
      </c>
      <c r="B23" s="37">
        <f t="shared" si="0"/>
        <v>1101</v>
      </c>
      <c r="C23" s="20">
        <f t="shared" si="4"/>
        <v>275.25</v>
      </c>
      <c r="D23" s="21">
        <f t="shared" si="1"/>
        <v>14</v>
      </c>
      <c r="E23" s="21">
        <f t="shared" si="5"/>
        <v>261.25</v>
      </c>
      <c r="F23" s="20">
        <f t="shared" si="10"/>
        <v>4.5625</v>
      </c>
      <c r="G23" s="10">
        <f t="shared" si="6"/>
        <v>-1</v>
      </c>
      <c r="H23" s="10">
        <f t="shared" si="7"/>
        <v>-1</v>
      </c>
      <c r="I23" s="16">
        <f t="shared" si="8"/>
        <v>-1</v>
      </c>
      <c r="M23" s="24">
        <f t="shared" si="12"/>
        <v>75</v>
      </c>
      <c r="N23" s="40">
        <f aca="true" t="shared" si="13" ref="N23:N33">EXP((LN(M23)-CDC_a)/CDC_b)</f>
        <v>652.2325429915337</v>
      </c>
      <c r="O23" s="47">
        <f aca="true" t="shared" si="14" ref="O23:O33">EXP((LN(M23)-CSC_a-LN(Yield))/CSC_b)</f>
        <v>54.23064350458159</v>
      </c>
      <c r="P23" s="10"/>
    </row>
    <row r="24" spans="1:16" ht="12.75">
      <c r="A24" s="24">
        <f t="shared" si="9"/>
        <v>15</v>
      </c>
      <c r="B24" s="37">
        <f t="shared" si="0"/>
        <v>1118.75</v>
      </c>
      <c r="C24" s="20">
        <f t="shared" si="4"/>
        <v>279.6875</v>
      </c>
      <c r="D24" s="21">
        <f t="shared" si="1"/>
        <v>15</v>
      </c>
      <c r="E24" s="21">
        <f t="shared" si="5"/>
        <v>264.6875</v>
      </c>
      <c r="F24" s="20">
        <f t="shared" si="10"/>
        <v>4.4375</v>
      </c>
      <c r="G24" s="10">
        <f t="shared" si="6"/>
        <v>-1</v>
      </c>
      <c r="H24" s="10">
        <f t="shared" si="7"/>
        <v>-1</v>
      </c>
      <c r="I24" s="16">
        <f t="shared" si="8"/>
        <v>-1</v>
      </c>
      <c r="M24" s="24">
        <f t="shared" si="12"/>
        <v>80</v>
      </c>
      <c r="N24" s="40">
        <f t="shared" si="13"/>
        <v>525.9850317460674</v>
      </c>
      <c r="O24" s="47">
        <f t="shared" si="14"/>
        <v>76.40784963313646</v>
      </c>
      <c r="P24" s="10"/>
    </row>
    <row r="25" spans="1:16" ht="12.75">
      <c r="A25" s="24">
        <f t="shared" si="9"/>
        <v>16</v>
      </c>
      <c r="B25" s="37">
        <f t="shared" si="0"/>
        <v>1136</v>
      </c>
      <c r="C25" s="20">
        <f t="shared" si="4"/>
        <v>284</v>
      </c>
      <c r="D25" s="21">
        <f t="shared" si="1"/>
        <v>16</v>
      </c>
      <c r="E25" s="21">
        <f t="shared" si="5"/>
        <v>268</v>
      </c>
      <c r="F25" s="20">
        <f t="shared" si="10"/>
        <v>4.3125</v>
      </c>
      <c r="G25" s="10">
        <f t="shared" si="6"/>
        <v>-1</v>
      </c>
      <c r="H25" s="10">
        <f t="shared" si="7"/>
        <v>-1</v>
      </c>
      <c r="I25" s="16">
        <f t="shared" si="8"/>
        <v>-1</v>
      </c>
      <c r="M25" s="24">
        <f t="shared" si="12"/>
        <v>85</v>
      </c>
      <c r="N25" s="40">
        <f t="shared" si="13"/>
        <v>429.74442987095557</v>
      </c>
      <c r="O25" s="47">
        <f t="shared" si="14"/>
        <v>105.43909224269704</v>
      </c>
      <c r="P25" s="10"/>
    </row>
    <row r="26" spans="1:16" ht="12.75">
      <c r="A26" s="24">
        <f t="shared" si="9"/>
        <v>17</v>
      </c>
      <c r="B26" s="37">
        <f t="shared" si="0"/>
        <v>1152.75</v>
      </c>
      <c r="C26" s="20">
        <f t="shared" si="4"/>
        <v>288.1875</v>
      </c>
      <c r="D26" s="21">
        <f t="shared" si="1"/>
        <v>17</v>
      </c>
      <c r="E26" s="21">
        <f t="shared" si="5"/>
        <v>271.1875</v>
      </c>
      <c r="F26" s="20">
        <f t="shared" si="10"/>
        <v>4.1875</v>
      </c>
      <c r="G26" s="10">
        <f t="shared" si="6"/>
        <v>-1</v>
      </c>
      <c r="H26" s="10">
        <f t="shared" si="7"/>
        <v>-1</v>
      </c>
      <c r="I26" s="16">
        <f t="shared" si="8"/>
        <v>-1</v>
      </c>
      <c r="M26" s="24">
        <f t="shared" si="12"/>
        <v>90</v>
      </c>
      <c r="N26" s="40">
        <f t="shared" si="13"/>
        <v>355.19347347437895</v>
      </c>
      <c r="O26" s="47">
        <f t="shared" si="14"/>
        <v>142.84618437823016</v>
      </c>
      <c r="P26" s="10"/>
    </row>
    <row r="27" spans="1:16" ht="12.75">
      <c r="A27" s="24">
        <f t="shared" si="9"/>
        <v>18</v>
      </c>
      <c r="B27" s="37">
        <f t="shared" si="0"/>
        <v>1169</v>
      </c>
      <c r="C27" s="20">
        <f t="shared" si="4"/>
        <v>292.25</v>
      </c>
      <c r="D27" s="21">
        <f t="shared" si="1"/>
        <v>18</v>
      </c>
      <c r="E27" s="21">
        <f t="shared" si="5"/>
        <v>274.25</v>
      </c>
      <c r="F27" s="20">
        <f t="shared" si="10"/>
        <v>4.0625</v>
      </c>
      <c r="G27" s="10">
        <f t="shared" si="6"/>
        <v>-1</v>
      </c>
      <c r="H27" s="10">
        <f t="shared" si="7"/>
        <v>-1</v>
      </c>
      <c r="I27" s="16">
        <f t="shared" si="8"/>
        <v>-1</v>
      </c>
      <c r="M27" s="24">
        <f t="shared" si="12"/>
        <v>95</v>
      </c>
      <c r="N27" s="40">
        <f t="shared" si="13"/>
        <v>296.6160572069118</v>
      </c>
      <c r="O27" s="47">
        <f t="shared" si="14"/>
        <v>190.37245583142075</v>
      </c>
      <c r="P27" s="10"/>
    </row>
    <row r="28" spans="1:16" ht="12.75">
      <c r="A28" s="24">
        <f t="shared" si="9"/>
        <v>19</v>
      </c>
      <c r="B28" s="37">
        <f t="shared" si="0"/>
        <v>1184.75</v>
      </c>
      <c r="C28" s="20">
        <f t="shared" si="4"/>
        <v>296.1875</v>
      </c>
      <c r="D28" s="21">
        <f t="shared" si="1"/>
        <v>19</v>
      </c>
      <c r="E28" s="21">
        <f t="shared" si="5"/>
        <v>277.1875</v>
      </c>
      <c r="F28" s="20">
        <f t="shared" si="10"/>
        <v>3.9375</v>
      </c>
      <c r="G28" s="10">
        <f t="shared" si="6"/>
        <v>-1</v>
      </c>
      <c r="H28" s="10">
        <f t="shared" si="7"/>
        <v>-1</v>
      </c>
      <c r="I28" s="16">
        <f t="shared" si="8"/>
        <v>-1</v>
      </c>
      <c r="M28" s="24">
        <f t="shared" si="12"/>
        <v>100</v>
      </c>
      <c r="N28" s="40">
        <f t="shared" si="13"/>
        <v>250.00000000000034</v>
      </c>
      <c r="O28" s="47">
        <f t="shared" si="14"/>
        <v>250.0000000000001</v>
      </c>
      <c r="P28" s="10"/>
    </row>
    <row r="29" spans="1:16" ht="12.75">
      <c r="A29" s="24">
        <f t="shared" si="9"/>
        <v>20</v>
      </c>
      <c r="B29" s="37">
        <f t="shared" si="0"/>
        <v>1200</v>
      </c>
      <c r="C29" s="20">
        <f t="shared" si="4"/>
        <v>300</v>
      </c>
      <c r="D29" s="21">
        <f t="shared" si="1"/>
        <v>20</v>
      </c>
      <c r="E29" s="21">
        <f t="shared" si="5"/>
        <v>280</v>
      </c>
      <c r="F29" s="20">
        <f t="shared" si="10"/>
        <v>3.8125</v>
      </c>
      <c r="G29" s="10">
        <f t="shared" si="6"/>
        <v>-1</v>
      </c>
      <c r="H29" s="10">
        <f t="shared" si="7"/>
        <v>-1</v>
      </c>
      <c r="I29" s="16">
        <f t="shared" si="8"/>
        <v>-1</v>
      </c>
      <c r="M29" s="24">
        <f t="shared" si="12"/>
        <v>105</v>
      </c>
      <c r="N29" s="40">
        <f t="shared" si="13"/>
        <v>212.47557430217054</v>
      </c>
      <c r="O29" s="47">
        <f t="shared" si="14"/>
        <v>323.9672228086301</v>
      </c>
      <c r="P29" s="10"/>
    </row>
    <row r="30" spans="1:16" ht="12.75">
      <c r="A30" s="24">
        <f t="shared" si="9"/>
        <v>21</v>
      </c>
      <c r="B30" s="37">
        <f t="shared" si="0"/>
        <v>1214.75</v>
      </c>
      <c r="C30" s="20">
        <f t="shared" si="4"/>
        <v>303.6875</v>
      </c>
      <c r="D30" s="21">
        <f t="shared" si="1"/>
        <v>21</v>
      </c>
      <c r="E30" s="21">
        <f t="shared" si="5"/>
        <v>282.6875</v>
      </c>
      <c r="F30" s="20">
        <f t="shared" si="10"/>
        <v>3.6875</v>
      </c>
      <c r="G30" s="10">
        <f t="shared" si="6"/>
        <v>-1</v>
      </c>
      <c r="H30" s="10">
        <f t="shared" si="7"/>
        <v>-1</v>
      </c>
      <c r="I30" s="16">
        <f t="shared" si="8"/>
        <v>-1</v>
      </c>
      <c r="M30" s="24">
        <f t="shared" si="12"/>
        <v>110</v>
      </c>
      <c r="N30" s="40">
        <f t="shared" si="13"/>
        <v>181.95516644467799</v>
      </c>
      <c r="O30" s="47">
        <f t="shared" si="14"/>
        <v>414.78668263731237</v>
      </c>
      <c r="P30" s="10"/>
    </row>
    <row r="31" spans="1:16" ht="12.75">
      <c r="A31" s="24">
        <f t="shared" si="9"/>
        <v>22</v>
      </c>
      <c r="B31" s="37">
        <f t="shared" si="0"/>
        <v>1229</v>
      </c>
      <c r="C31" s="20">
        <f t="shared" si="4"/>
        <v>307.25</v>
      </c>
      <c r="D31" s="21">
        <f t="shared" si="1"/>
        <v>22</v>
      </c>
      <c r="E31" s="21">
        <f t="shared" si="5"/>
        <v>285.25</v>
      </c>
      <c r="F31" s="20">
        <f t="shared" si="10"/>
        <v>3.5625</v>
      </c>
      <c r="G31" s="10">
        <f t="shared" si="6"/>
        <v>-1</v>
      </c>
      <c r="H31" s="10">
        <f t="shared" si="7"/>
        <v>-1</v>
      </c>
      <c r="I31" s="16">
        <f t="shared" si="8"/>
        <v>-1</v>
      </c>
      <c r="J31" s="20"/>
      <c r="K31" s="20"/>
      <c r="L31" s="16"/>
      <c r="M31" s="24">
        <f t="shared" si="12"/>
        <v>115</v>
      </c>
      <c r="N31" s="40">
        <f t="shared" si="13"/>
        <v>156.896723471544</v>
      </c>
      <c r="O31" s="47">
        <f t="shared" si="14"/>
        <v>525.2632111470471</v>
      </c>
      <c r="P31" s="10"/>
    </row>
    <row r="32" spans="1:16" ht="12.75">
      <c r="A32" s="24">
        <f t="shared" si="9"/>
        <v>23</v>
      </c>
      <c r="B32" s="37">
        <f t="shared" si="0"/>
        <v>1242.75</v>
      </c>
      <c r="C32" s="20">
        <f t="shared" si="4"/>
        <v>310.6875</v>
      </c>
      <c r="D32" s="21">
        <f t="shared" si="1"/>
        <v>23</v>
      </c>
      <c r="E32" s="21">
        <f t="shared" si="5"/>
        <v>287.6875</v>
      </c>
      <c r="F32" s="20">
        <f t="shared" si="10"/>
        <v>3.4375</v>
      </c>
      <c r="G32" s="10">
        <f t="shared" si="6"/>
        <v>-1</v>
      </c>
      <c r="H32" s="10">
        <f t="shared" si="7"/>
        <v>-1</v>
      </c>
      <c r="I32" s="16">
        <f t="shared" si="8"/>
        <v>-1</v>
      </c>
      <c r="J32" s="20"/>
      <c r="K32" s="20"/>
      <c r="L32" s="16"/>
      <c r="M32" s="24">
        <f t="shared" si="12"/>
        <v>120</v>
      </c>
      <c r="N32" s="40">
        <f t="shared" si="13"/>
        <v>136.14525880801955</v>
      </c>
      <c r="O32" s="47">
        <f t="shared" si="14"/>
        <v>658.5123057140229</v>
      </c>
      <c r="P32" s="10"/>
    </row>
    <row r="33" spans="1:16" ht="12.75">
      <c r="A33" s="24">
        <f t="shared" si="9"/>
        <v>24</v>
      </c>
      <c r="B33" s="37">
        <f t="shared" si="0"/>
        <v>1256</v>
      </c>
      <c r="C33" s="20">
        <f t="shared" si="4"/>
        <v>314</v>
      </c>
      <c r="D33" s="21">
        <f t="shared" si="1"/>
        <v>24</v>
      </c>
      <c r="E33" s="21">
        <f t="shared" si="5"/>
        <v>290</v>
      </c>
      <c r="F33" s="20">
        <f t="shared" si="10"/>
        <v>3.3125</v>
      </c>
      <c r="G33" s="10">
        <f t="shared" si="6"/>
        <v>-1</v>
      </c>
      <c r="H33" s="10">
        <f t="shared" si="7"/>
        <v>-1</v>
      </c>
      <c r="I33" s="16">
        <f t="shared" si="8"/>
        <v>-1</v>
      </c>
      <c r="J33" s="20"/>
      <c r="K33" s="20"/>
      <c r="L33" s="16"/>
      <c r="M33" s="24">
        <f t="shared" si="12"/>
        <v>125</v>
      </c>
      <c r="N33" s="40">
        <f t="shared" si="13"/>
        <v>118.82467414048732</v>
      </c>
      <c r="O33" s="47">
        <f t="shared" si="14"/>
        <v>817.9787849034706</v>
      </c>
      <c r="P33" s="10"/>
    </row>
    <row r="34" spans="1:16" ht="12.75">
      <c r="A34" s="24">
        <f t="shared" si="9"/>
        <v>25</v>
      </c>
      <c r="B34" s="37">
        <f t="shared" si="0"/>
        <v>1268.75</v>
      </c>
      <c r="C34" s="20">
        <f t="shared" si="4"/>
        <v>317.1875</v>
      </c>
      <c r="D34" s="21">
        <f t="shared" si="1"/>
        <v>25</v>
      </c>
      <c r="E34" s="21">
        <f t="shared" si="5"/>
        <v>292.1875</v>
      </c>
      <c r="F34" s="20">
        <f t="shared" si="10"/>
        <v>3.1875</v>
      </c>
      <c r="G34" s="10">
        <f t="shared" si="6"/>
        <v>-1</v>
      </c>
      <c r="H34" s="10">
        <f t="shared" si="7"/>
        <v>-1</v>
      </c>
      <c r="I34" s="16">
        <f t="shared" si="8"/>
        <v>-1</v>
      </c>
      <c r="J34" s="20"/>
      <c r="K34" s="20"/>
      <c r="L34" s="16"/>
      <c r="M34" s="24"/>
      <c r="N34" s="10"/>
      <c r="O34" s="16"/>
      <c r="P34" s="10"/>
    </row>
    <row r="35" spans="1:15" ht="12.75">
      <c r="A35" s="24">
        <f t="shared" si="9"/>
        <v>26</v>
      </c>
      <c r="B35" s="37">
        <f t="shared" si="0"/>
        <v>1281</v>
      </c>
      <c r="C35" s="20">
        <f t="shared" si="4"/>
        <v>320.25</v>
      </c>
      <c r="D35" s="21">
        <f t="shared" si="1"/>
        <v>26</v>
      </c>
      <c r="E35" s="21">
        <f t="shared" si="5"/>
        <v>294.25</v>
      </c>
      <c r="F35" s="20">
        <f t="shared" si="10"/>
        <v>3.0625</v>
      </c>
      <c r="G35" s="10">
        <f t="shared" si="6"/>
        <v>-1</v>
      </c>
      <c r="H35" s="10">
        <f t="shared" si="7"/>
        <v>-1</v>
      </c>
      <c r="I35" s="16">
        <f t="shared" si="8"/>
        <v>-1</v>
      </c>
      <c r="J35" s="4" t="s">
        <v>46</v>
      </c>
      <c r="M35" s="52" t="s">
        <v>45</v>
      </c>
      <c r="N35" s="10"/>
      <c r="O35" s="16"/>
    </row>
    <row r="36" spans="1:16" ht="12.75">
      <c r="A36" s="24">
        <f t="shared" si="9"/>
        <v>27</v>
      </c>
      <c r="B36" s="37">
        <f t="shared" si="0"/>
        <v>1292.75</v>
      </c>
      <c r="C36" s="20">
        <f t="shared" si="4"/>
        <v>323.1875</v>
      </c>
      <c r="D36" s="21">
        <f t="shared" si="1"/>
        <v>27</v>
      </c>
      <c r="E36" s="21">
        <f t="shared" si="5"/>
        <v>296.1875</v>
      </c>
      <c r="F36" s="20">
        <f t="shared" si="10"/>
        <v>2.9375</v>
      </c>
      <c r="G36" s="10">
        <f t="shared" si="6"/>
        <v>-1</v>
      </c>
      <c r="H36" s="10">
        <f t="shared" si="7"/>
        <v>-1</v>
      </c>
      <c r="I36" s="16">
        <f t="shared" si="8"/>
        <v>-1</v>
      </c>
      <c r="J36" s="42" t="s">
        <v>68</v>
      </c>
      <c r="M36" s="56" t="s">
        <v>69</v>
      </c>
      <c r="N36" s="10"/>
      <c r="O36" s="16"/>
      <c r="P36" s="10"/>
    </row>
    <row r="37" spans="1:16" ht="12.75">
      <c r="A37" s="24">
        <f t="shared" si="9"/>
        <v>28</v>
      </c>
      <c r="B37" s="37">
        <f t="shared" si="0"/>
        <v>1304</v>
      </c>
      <c r="C37" s="20">
        <f t="shared" si="4"/>
        <v>326</v>
      </c>
      <c r="D37" s="21">
        <f t="shared" si="1"/>
        <v>28</v>
      </c>
      <c r="E37" s="21">
        <f t="shared" si="5"/>
        <v>298</v>
      </c>
      <c r="F37" s="20">
        <f t="shared" si="10"/>
        <v>2.8125</v>
      </c>
      <c r="G37" s="10">
        <f t="shared" si="6"/>
        <v>-1</v>
      </c>
      <c r="H37" s="10">
        <f t="shared" si="7"/>
        <v>-1</v>
      </c>
      <c r="I37" s="16">
        <f t="shared" si="8"/>
        <v>-1</v>
      </c>
      <c r="J37" t="s">
        <v>2</v>
      </c>
      <c r="L37" s="39">
        <f>(-FRC_b)/(2*FRC_c)</f>
        <v>50</v>
      </c>
      <c r="M37" s="15" t="s">
        <v>2</v>
      </c>
      <c r="N37" s="10"/>
      <c r="O37" s="48">
        <f>LN(Crop_prod)-CDC_b*LN(P_crop)</f>
        <v>6.261608461346766</v>
      </c>
      <c r="P37" s="10"/>
    </row>
    <row r="38" spans="1:16" ht="12.75">
      <c r="A38" s="24">
        <f t="shared" si="9"/>
        <v>29</v>
      </c>
      <c r="B38" s="37">
        <f t="shared" si="0"/>
        <v>1314.75</v>
      </c>
      <c r="C38" s="20">
        <f t="shared" si="4"/>
        <v>328.6875</v>
      </c>
      <c r="D38" s="21">
        <f t="shared" si="1"/>
        <v>29</v>
      </c>
      <c r="E38" s="21">
        <f t="shared" si="5"/>
        <v>299.6875</v>
      </c>
      <c r="F38" s="20">
        <f t="shared" si="10"/>
        <v>2.6875</v>
      </c>
      <c r="G38" s="10">
        <f t="shared" si="6"/>
        <v>-1</v>
      </c>
      <c r="H38" s="10">
        <f t="shared" si="7"/>
        <v>-1</v>
      </c>
      <c r="I38" s="16">
        <f t="shared" si="8"/>
        <v>-1</v>
      </c>
      <c r="J38" t="s">
        <v>44</v>
      </c>
      <c r="L38" s="39">
        <f>VCratio/(P_crop*2*FRC_c)</f>
        <v>-0.016</v>
      </c>
      <c r="M38" s="15" t="s">
        <v>55</v>
      </c>
      <c r="N38" s="10"/>
      <c r="O38" s="48">
        <f>Crop_elast_D</f>
        <v>-0.3</v>
      </c>
      <c r="P38" s="10"/>
    </row>
    <row r="39" spans="1:15" ht="12.75">
      <c r="A39" s="24">
        <f t="shared" si="9"/>
        <v>30</v>
      </c>
      <c r="B39" s="37">
        <f t="shared" si="0"/>
        <v>1325</v>
      </c>
      <c r="C39" s="20">
        <f t="shared" si="4"/>
        <v>331.25</v>
      </c>
      <c r="D39" s="21">
        <f t="shared" si="1"/>
        <v>30</v>
      </c>
      <c r="E39" s="21">
        <f t="shared" si="5"/>
        <v>301.25</v>
      </c>
      <c r="F39" s="20">
        <f t="shared" si="10"/>
        <v>2.5625</v>
      </c>
      <c r="G39" s="10">
        <f t="shared" si="6"/>
        <v>-1</v>
      </c>
      <c r="H39" s="10">
        <f t="shared" si="7"/>
        <v>-1</v>
      </c>
      <c r="I39" s="16">
        <f t="shared" si="8"/>
        <v>-1</v>
      </c>
      <c r="M39" s="15"/>
      <c r="O39" s="16"/>
    </row>
    <row r="40" spans="1:15" ht="12.75">
      <c r="A40" s="24">
        <f t="shared" si="9"/>
        <v>31</v>
      </c>
      <c r="B40" s="37">
        <f t="shared" si="0"/>
        <v>1334.75</v>
      </c>
      <c r="C40" s="20">
        <f t="shared" si="4"/>
        <v>333.6875</v>
      </c>
      <c r="D40" s="21">
        <f t="shared" si="1"/>
        <v>31</v>
      </c>
      <c r="E40" s="21">
        <f t="shared" si="5"/>
        <v>302.6875</v>
      </c>
      <c r="F40" s="20">
        <f t="shared" si="10"/>
        <v>2.4375</v>
      </c>
      <c r="G40" s="10">
        <f t="shared" si="6"/>
        <v>-1</v>
      </c>
      <c r="H40" s="10">
        <f t="shared" si="7"/>
        <v>-1</v>
      </c>
      <c r="I40" s="16">
        <f t="shared" si="8"/>
        <v>-1</v>
      </c>
      <c r="J40" s="4" t="s">
        <v>66</v>
      </c>
      <c r="M40" s="53" t="s">
        <v>47</v>
      </c>
      <c r="N40" s="10"/>
      <c r="O40" s="16"/>
    </row>
    <row r="41" spans="1:16" ht="12.75">
      <c r="A41" s="24">
        <f t="shared" si="9"/>
        <v>32</v>
      </c>
      <c r="B41" s="37">
        <f aca="true" t="shared" si="15" ref="B41:B69">FRC_a+FRC_b*A41+FRC_c*A41^2</f>
        <v>1344</v>
      </c>
      <c r="C41" s="20">
        <f aca="true" t="shared" si="16" ref="C41:C69">(P_crop/1000)*(FRC_a+FRC_b*A41+FRC_c*A41^2)</f>
        <v>336</v>
      </c>
      <c r="D41" s="21">
        <f aca="true" t="shared" si="17" ref="D41:D69">A41*P_fert_sub/1000</f>
        <v>32</v>
      </c>
      <c r="E41" s="21">
        <f aca="true" t="shared" si="18" ref="E41:E69">C41-D41</f>
        <v>304</v>
      </c>
      <c r="F41" s="20">
        <f t="shared" si="10"/>
        <v>2.3125</v>
      </c>
      <c r="G41" s="10">
        <f t="shared" si="6"/>
        <v>-1</v>
      </c>
      <c r="H41" s="10">
        <f t="shared" si="7"/>
        <v>-1</v>
      </c>
      <c r="I41" s="16">
        <f t="shared" si="8"/>
        <v>-1</v>
      </c>
      <c r="J41" s="54" t="s">
        <v>67</v>
      </c>
      <c r="K41" s="55">
        <f>P_fert_sub</f>
        <v>1000</v>
      </c>
      <c r="M41" s="41" t="s">
        <v>70</v>
      </c>
      <c r="N41" s="10"/>
      <c r="O41" s="16"/>
      <c r="P41" s="10"/>
    </row>
    <row r="42" spans="1:16" ht="12.75">
      <c r="A42" s="24">
        <f t="shared" si="9"/>
        <v>33</v>
      </c>
      <c r="B42" s="37">
        <f t="shared" si="15"/>
        <v>1352.75</v>
      </c>
      <c r="C42" s="20">
        <f t="shared" si="16"/>
        <v>338.1875</v>
      </c>
      <c r="D42" s="21">
        <f t="shared" si="17"/>
        <v>33</v>
      </c>
      <c r="E42" s="21">
        <f t="shared" si="18"/>
        <v>305.1875</v>
      </c>
      <c r="F42" s="20">
        <f aca="true" t="shared" si="19" ref="F42:F69">(C42-C41)/(D42-D41)</f>
        <v>2.1875</v>
      </c>
      <c r="G42" s="10">
        <f aca="true" t="shared" si="20" ref="G42:G69">IF(F42&gt;=0,IF(F43&lt;0,C42,-1),-1)</f>
        <v>-1</v>
      </c>
      <c r="H42" s="10">
        <f aca="true" t="shared" si="21" ref="H42:H69">IF(F42&gt;=1,IF(F43&lt;1,C42,-1),-1)</f>
        <v>-1</v>
      </c>
      <c r="I42" s="16">
        <f aca="true" t="shared" si="22" ref="I42:I69">IF(F42&gt;=VCratio,IF(F43&lt;VCratio,C42,-1),-1)</f>
        <v>-1</v>
      </c>
      <c r="M42" s="15" t="s">
        <v>2</v>
      </c>
      <c r="N42" s="10"/>
      <c r="O42" s="48">
        <f>LN(Crop_prod)-CSC_b*LN(P_crop)-LN(Yield)</f>
        <v>-3.650204074740465</v>
      </c>
      <c r="P42" s="10"/>
    </row>
    <row r="43" spans="1:16" ht="12.75">
      <c r="A43" s="24">
        <f aca="true" t="shared" si="23" ref="A43:A69">A42+1</f>
        <v>34</v>
      </c>
      <c r="B43" s="37">
        <f t="shared" si="15"/>
        <v>1361</v>
      </c>
      <c r="C43" s="20">
        <f t="shared" si="16"/>
        <v>340.25</v>
      </c>
      <c r="D43" s="21">
        <f t="shared" si="17"/>
        <v>34</v>
      </c>
      <c r="E43" s="21">
        <f t="shared" si="18"/>
        <v>306.25</v>
      </c>
      <c r="F43" s="20">
        <f t="shared" si="19"/>
        <v>2.0625</v>
      </c>
      <c r="G43" s="10">
        <f t="shared" si="20"/>
        <v>-1</v>
      </c>
      <c r="H43" s="10">
        <f t="shared" si="21"/>
        <v>-1</v>
      </c>
      <c r="I43" s="16">
        <f t="shared" si="22"/>
        <v>340.25</v>
      </c>
      <c r="M43" s="15" t="s">
        <v>60</v>
      </c>
      <c r="N43" s="10"/>
      <c r="O43" s="48">
        <f>(1+O45)/(1+O44)-1</f>
        <v>0.18824714573539292</v>
      </c>
      <c r="P43" s="10"/>
    </row>
    <row r="44" spans="1:15" ht="12.75">
      <c r="A44" s="24">
        <f t="shared" si="23"/>
        <v>35</v>
      </c>
      <c r="B44" s="37">
        <f t="shared" si="15"/>
        <v>1368.75</v>
      </c>
      <c r="C44" s="20">
        <f t="shared" si="16"/>
        <v>342.1875</v>
      </c>
      <c r="D44" s="21">
        <f t="shared" si="17"/>
        <v>35</v>
      </c>
      <c r="E44" s="21">
        <f t="shared" si="18"/>
        <v>307.1875</v>
      </c>
      <c r="F44" s="20">
        <f t="shared" si="19"/>
        <v>1.9375</v>
      </c>
      <c r="G44" s="10">
        <f t="shared" si="20"/>
        <v>-1</v>
      </c>
      <c r="H44" s="10">
        <f t="shared" si="21"/>
        <v>-1</v>
      </c>
      <c r="I44" s="16">
        <f t="shared" si="22"/>
        <v>-1</v>
      </c>
      <c r="J44" t="s">
        <v>61</v>
      </c>
      <c r="L44">
        <f>FDC_a+FDC_b*P_fert_sub</f>
        <v>34</v>
      </c>
      <c r="M44" s="15" t="s">
        <v>58</v>
      </c>
      <c r="N44" s="10"/>
      <c r="O44" s="48">
        <f>L51</f>
        <v>0.0940484937545922</v>
      </c>
    </row>
    <row r="45" spans="1:16" ht="12.75">
      <c r="A45" s="24">
        <f t="shared" si="23"/>
        <v>36</v>
      </c>
      <c r="B45" s="37">
        <f t="shared" si="15"/>
        <v>1376</v>
      </c>
      <c r="C45" s="20">
        <f t="shared" si="16"/>
        <v>344</v>
      </c>
      <c r="D45" s="21">
        <f t="shared" si="17"/>
        <v>36</v>
      </c>
      <c r="E45" s="21">
        <f t="shared" si="18"/>
        <v>308</v>
      </c>
      <c r="F45" s="20">
        <f t="shared" si="19"/>
        <v>1.8125</v>
      </c>
      <c r="G45" s="10">
        <f t="shared" si="20"/>
        <v>-1</v>
      </c>
      <c r="H45" s="10">
        <f t="shared" si="21"/>
        <v>-1</v>
      </c>
      <c r="I45" s="16">
        <f t="shared" si="22"/>
        <v>-1</v>
      </c>
      <c r="J45" t="s">
        <v>65</v>
      </c>
      <c r="L45">
        <f>(P_crop/1000)*(FRC_a+FRC_b*Fert_use+FRC_c*Fert_use^2)</f>
        <v>340.25</v>
      </c>
      <c r="M45" s="24" t="s">
        <v>59</v>
      </c>
      <c r="N45" s="10"/>
      <c r="O45" s="21">
        <f>Crop_elast_S</f>
        <v>0.3</v>
      </c>
      <c r="P45" s="15"/>
    </row>
    <row r="46" spans="1:16" ht="12.75">
      <c r="A46" s="24">
        <f t="shared" si="23"/>
        <v>37</v>
      </c>
      <c r="B46" s="37">
        <f t="shared" si="15"/>
        <v>1382.75</v>
      </c>
      <c r="C46" s="20">
        <f t="shared" si="16"/>
        <v>345.6875</v>
      </c>
      <c r="D46" s="21">
        <f t="shared" si="17"/>
        <v>37</v>
      </c>
      <c r="E46" s="21">
        <f t="shared" si="18"/>
        <v>308.6875</v>
      </c>
      <c r="F46" s="20">
        <f t="shared" si="19"/>
        <v>1.6875</v>
      </c>
      <c r="G46" s="10">
        <f t="shared" si="20"/>
        <v>-1</v>
      </c>
      <c r="H46" s="10">
        <f t="shared" si="21"/>
        <v>-1</v>
      </c>
      <c r="I46" s="16">
        <f t="shared" si="22"/>
        <v>-1</v>
      </c>
      <c r="J46" t="s">
        <v>64</v>
      </c>
      <c r="L46">
        <f>L45/(P_crop/1000)</f>
        <v>1361</v>
      </c>
      <c r="M46" s="15" t="s">
        <v>54</v>
      </c>
      <c r="P46" s="15"/>
    </row>
    <row r="47" spans="1:16" ht="12.75">
      <c r="A47" s="24">
        <f t="shared" si="23"/>
        <v>38</v>
      </c>
      <c r="B47" s="37">
        <f t="shared" si="15"/>
        <v>1389</v>
      </c>
      <c r="C47" s="20">
        <f t="shared" si="16"/>
        <v>347.25</v>
      </c>
      <c r="D47" s="21">
        <f t="shared" si="17"/>
        <v>38</v>
      </c>
      <c r="E47" s="21">
        <f t="shared" si="18"/>
        <v>309.25</v>
      </c>
      <c r="F47" s="20">
        <f t="shared" si="19"/>
        <v>1.5625</v>
      </c>
      <c r="G47" s="10">
        <f t="shared" si="20"/>
        <v>-1</v>
      </c>
      <c r="H47" s="10">
        <f t="shared" si="21"/>
        <v>-1</v>
      </c>
      <c r="I47" s="16">
        <f t="shared" si="22"/>
        <v>-1</v>
      </c>
      <c r="M47" s="15"/>
      <c r="P47" s="15"/>
    </row>
    <row r="48" spans="1:16" ht="12.75">
      <c r="A48" s="24">
        <f t="shared" si="23"/>
        <v>39</v>
      </c>
      <c r="B48" s="37">
        <f t="shared" si="15"/>
        <v>1394.75</v>
      </c>
      <c r="C48" s="20">
        <f t="shared" si="16"/>
        <v>348.6875</v>
      </c>
      <c r="D48" s="21">
        <f t="shared" si="17"/>
        <v>39</v>
      </c>
      <c r="E48" s="21">
        <f t="shared" si="18"/>
        <v>309.6875</v>
      </c>
      <c r="F48" s="20">
        <f t="shared" si="19"/>
        <v>1.4375</v>
      </c>
      <c r="G48" s="10">
        <f t="shared" si="20"/>
        <v>-1</v>
      </c>
      <c r="H48" s="10">
        <f t="shared" si="21"/>
        <v>-1</v>
      </c>
      <c r="I48" s="16">
        <f t="shared" si="22"/>
        <v>-1</v>
      </c>
      <c r="J48" s="42" t="s">
        <v>48</v>
      </c>
      <c r="L48" s="39">
        <f>FDC_b*P_fert_sub/D_fert</f>
        <v>-0.47058823529411764</v>
      </c>
      <c r="M48" s="32" t="s">
        <v>63</v>
      </c>
      <c r="N48" s="10"/>
      <c r="O48" s="10">
        <f>EXP((CDC_a-CSC_a-LN(Yield))/(CSC_b-CDC_b))</f>
        <v>250.0000000000001</v>
      </c>
      <c r="P48" s="15"/>
    </row>
    <row r="49" spans="1:15" ht="12.75">
      <c r="A49" s="24">
        <f t="shared" si="23"/>
        <v>40</v>
      </c>
      <c r="B49" s="37">
        <f t="shared" si="15"/>
        <v>1400</v>
      </c>
      <c r="C49" s="20">
        <f t="shared" si="16"/>
        <v>350</v>
      </c>
      <c r="D49" s="21">
        <f t="shared" si="17"/>
        <v>40</v>
      </c>
      <c r="E49" s="21">
        <f t="shared" si="18"/>
        <v>310</v>
      </c>
      <c r="F49" s="20">
        <f t="shared" si="19"/>
        <v>1.3125</v>
      </c>
      <c r="G49" s="10">
        <f t="shared" si="20"/>
        <v>-1</v>
      </c>
      <c r="H49" s="10">
        <f t="shared" si="21"/>
        <v>-1</v>
      </c>
      <c r="I49" s="16">
        <f t="shared" si="22"/>
        <v>-1</v>
      </c>
      <c r="J49" s="42" t="s">
        <v>49</v>
      </c>
      <c r="L49" s="39">
        <f>(P_fert*VCratio/(2*FRC_c))*(-1)*(P_crop)^(-2)*(P_crop/D_fert)</f>
        <v>0.47058823529411764</v>
      </c>
      <c r="M49" s="32" t="s">
        <v>74</v>
      </c>
      <c r="N49" s="10"/>
      <c r="O49" s="49">
        <f>EXP(CDC_a+CDC_b*LN(O48))</f>
        <v>100.00000000000004</v>
      </c>
    </row>
    <row r="50" spans="1:15" ht="12.75">
      <c r="A50" s="24">
        <f t="shared" si="23"/>
        <v>41</v>
      </c>
      <c r="B50" s="37">
        <f t="shared" si="15"/>
        <v>1404.75</v>
      </c>
      <c r="C50" s="20">
        <f t="shared" si="16"/>
        <v>351.1875</v>
      </c>
      <c r="D50" s="21">
        <f t="shared" si="17"/>
        <v>41</v>
      </c>
      <c r="E50" s="21">
        <f t="shared" si="18"/>
        <v>310.1875</v>
      </c>
      <c r="F50" s="20">
        <f t="shared" si="19"/>
        <v>1.1875</v>
      </c>
      <c r="G50" s="10">
        <f t="shared" si="20"/>
        <v>-1</v>
      </c>
      <c r="H50" s="10">
        <f t="shared" si="21"/>
        <v>-1</v>
      </c>
      <c r="I50" s="16">
        <f t="shared" si="22"/>
        <v>-1</v>
      </c>
      <c r="J50" s="42" t="s">
        <v>56</v>
      </c>
      <c r="L50" s="21">
        <f>(FRC_b+2*FRC_c*D_fert)*(Fert_use/Yield)</f>
        <v>0.19985304922850844</v>
      </c>
      <c r="M50" s="24" t="s">
        <v>54</v>
      </c>
      <c r="N50" s="10"/>
      <c r="O50" s="16"/>
    </row>
    <row r="51" spans="1:15" ht="12.75">
      <c r="A51" s="24">
        <f t="shared" si="23"/>
        <v>42</v>
      </c>
      <c r="B51" s="37">
        <f t="shared" si="15"/>
        <v>1409</v>
      </c>
      <c r="C51" s="20">
        <f t="shared" si="16"/>
        <v>352.25</v>
      </c>
      <c r="D51" s="21">
        <f t="shared" si="17"/>
        <v>42</v>
      </c>
      <c r="E51" s="21">
        <f t="shared" si="18"/>
        <v>310.25</v>
      </c>
      <c r="F51" s="20">
        <f t="shared" si="19"/>
        <v>1.0625</v>
      </c>
      <c r="G51" s="10">
        <f t="shared" si="20"/>
        <v>-1</v>
      </c>
      <c r="H51" s="10">
        <f t="shared" si="21"/>
        <v>352.25</v>
      </c>
      <c r="I51" s="16">
        <f t="shared" si="22"/>
        <v>-1</v>
      </c>
      <c r="J51" s="42" t="s">
        <v>57</v>
      </c>
      <c r="K51" s="36"/>
      <c r="L51" s="50">
        <f>L49*L50</f>
        <v>0.0940484937545922</v>
      </c>
      <c r="M51" s="24"/>
      <c r="N51" s="10"/>
      <c r="O51" s="16"/>
    </row>
    <row r="52" spans="1:15" ht="12.75">
      <c r="A52" s="24">
        <f t="shared" si="23"/>
        <v>43</v>
      </c>
      <c r="B52" s="37">
        <f t="shared" si="15"/>
        <v>1412.75</v>
      </c>
      <c r="C52" s="20">
        <f t="shared" si="16"/>
        <v>353.1875</v>
      </c>
      <c r="D52" s="21">
        <f t="shared" si="17"/>
        <v>43</v>
      </c>
      <c r="E52" s="21">
        <f t="shared" si="18"/>
        <v>310.1875</v>
      </c>
      <c r="F52" s="20">
        <f t="shared" si="19"/>
        <v>0.9375</v>
      </c>
      <c r="G52" s="10">
        <f t="shared" si="20"/>
        <v>-1</v>
      </c>
      <c r="H52" s="10">
        <f t="shared" si="21"/>
        <v>-1</v>
      </c>
      <c r="I52" s="16">
        <f t="shared" si="22"/>
        <v>-1</v>
      </c>
      <c r="J52" s="20"/>
      <c r="K52" s="20"/>
      <c r="L52" s="16"/>
      <c r="M52" s="24" t="s">
        <v>54</v>
      </c>
      <c r="N52" s="10"/>
      <c r="O52" s="16"/>
    </row>
    <row r="53" spans="1:15" ht="12.75">
      <c r="A53" s="24">
        <f t="shared" si="23"/>
        <v>44</v>
      </c>
      <c r="B53" s="37">
        <f t="shared" si="15"/>
        <v>1416</v>
      </c>
      <c r="C53" s="20">
        <f t="shared" si="16"/>
        <v>354</v>
      </c>
      <c r="D53" s="21">
        <f t="shared" si="17"/>
        <v>44</v>
      </c>
      <c r="E53" s="21">
        <f t="shared" si="18"/>
        <v>310</v>
      </c>
      <c r="F53" s="20">
        <f t="shared" si="19"/>
        <v>0.8125</v>
      </c>
      <c r="G53" s="10">
        <f t="shared" si="20"/>
        <v>-1</v>
      </c>
      <c r="H53" s="10">
        <f t="shared" si="21"/>
        <v>-1</v>
      </c>
      <c r="I53" s="16">
        <f t="shared" si="22"/>
        <v>-1</v>
      </c>
      <c r="J53" s="42" t="s">
        <v>50</v>
      </c>
      <c r="K53" s="20"/>
      <c r="L53" s="16"/>
      <c r="M53" s="24"/>
      <c r="N53" s="10"/>
      <c r="O53" s="16"/>
    </row>
    <row r="54" spans="1:15" ht="12.75">
      <c r="A54" s="24">
        <f t="shared" si="23"/>
        <v>45</v>
      </c>
      <c r="B54" s="37">
        <f t="shared" si="15"/>
        <v>1418.75</v>
      </c>
      <c r="C54" s="20">
        <f t="shared" si="16"/>
        <v>354.6875</v>
      </c>
      <c r="D54" s="21">
        <f t="shared" si="17"/>
        <v>45</v>
      </c>
      <c r="E54" s="21">
        <f t="shared" si="18"/>
        <v>309.6875</v>
      </c>
      <c r="F54" s="20">
        <f t="shared" si="19"/>
        <v>0.6875</v>
      </c>
      <c r="G54" s="10">
        <f t="shared" si="20"/>
        <v>-1</v>
      </c>
      <c r="H54" s="10">
        <f t="shared" si="21"/>
        <v>-1</v>
      </c>
      <c r="I54" s="16">
        <f t="shared" si="22"/>
        <v>-1</v>
      </c>
      <c r="J54" s="20"/>
      <c r="K54" s="20"/>
      <c r="L54" s="16"/>
      <c r="M54" s="41" t="s">
        <v>71</v>
      </c>
      <c r="N54" s="10"/>
      <c r="O54" s="16"/>
    </row>
    <row r="55" spans="1:15" ht="12.75">
      <c r="A55" s="24">
        <f t="shared" si="23"/>
        <v>46</v>
      </c>
      <c r="B55" s="37">
        <f t="shared" si="15"/>
        <v>1421</v>
      </c>
      <c r="C55" s="20">
        <f t="shared" si="16"/>
        <v>355.25</v>
      </c>
      <c r="D55" s="21">
        <f t="shared" si="17"/>
        <v>46</v>
      </c>
      <c r="E55" s="21">
        <f t="shared" si="18"/>
        <v>309.25</v>
      </c>
      <c r="F55" s="20">
        <f t="shared" si="19"/>
        <v>0.5625</v>
      </c>
      <c r="G55" s="10">
        <f t="shared" si="20"/>
        <v>-1</v>
      </c>
      <c r="H55" s="10">
        <f t="shared" si="21"/>
        <v>-1</v>
      </c>
      <c r="I55" s="16">
        <f t="shared" si="22"/>
        <v>-1</v>
      </c>
      <c r="J55" t="s">
        <v>16</v>
      </c>
      <c r="K55" s="20"/>
      <c r="L55" s="16"/>
      <c r="M55" s="24" t="s">
        <v>52</v>
      </c>
      <c r="N55" s="10"/>
      <c r="O55" s="16"/>
    </row>
    <row r="56" spans="1:15" ht="12.75">
      <c r="A56" s="24">
        <f t="shared" si="23"/>
        <v>47</v>
      </c>
      <c r="B56" s="37">
        <f t="shared" si="15"/>
        <v>1422.75</v>
      </c>
      <c r="C56" s="20">
        <f t="shared" si="16"/>
        <v>355.6875</v>
      </c>
      <c r="D56" s="21">
        <f t="shared" si="17"/>
        <v>47</v>
      </c>
      <c r="E56" s="21">
        <f t="shared" si="18"/>
        <v>308.6875</v>
      </c>
      <c r="F56" s="20">
        <f t="shared" si="19"/>
        <v>0.4375</v>
      </c>
      <c r="G56" s="10">
        <f t="shared" si="20"/>
        <v>-1</v>
      </c>
      <c r="H56" s="10">
        <f t="shared" si="21"/>
        <v>-1</v>
      </c>
      <c r="I56" s="16">
        <f t="shared" si="22"/>
        <v>-1</v>
      </c>
      <c r="J56" t="s">
        <v>17</v>
      </c>
      <c r="K56" s="20"/>
      <c r="L56" s="16"/>
      <c r="M56" s="24" t="s">
        <v>53</v>
      </c>
      <c r="N56" s="10"/>
      <c r="O56" s="16"/>
    </row>
    <row r="57" spans="1:15" ht="12.75">
      <c r="A57" s="24">
        <f t="shared" si="23"/>
        <v>48</v>
      </c>
      <c r="B57" s="37">
        <f t="shared" si="15"/>
        <v>1424</v>
      </c>
      <c r="C57" s="20">
        <f t="shared" si="16"/>
        <v>356</v>
      </c>
      <c r="D57" s="21">
        <f t="shared" si="17"/>
        <v>48</v>
      </c>
      <c r="E57" s="21">
        <f t="shared" si="18"/>
        <v>308</v>
      </c>
      <c r="F57" s="20">
        <f t="shared" si="19"/>
        <v>0.3125</v>
      </c>
      <c r="G57" s="10">
        <f t="shared" si="20"/>
        <v>-1</v>
      </c>
      <c r="H57" s="10">
        <f t="shared" si="21"/>
        <v>-1</v>
      </c>
      <c r="I57" s="16">
        <f t="shared" si="22"/>
        <v>-1</v>
      </c>
      <c r="J57" t="s">
        <v>18</v>
      </c>
      <c r="K57" s="20"/>
      <c r="L57" s="16"/>
      <c r="M57" s="24"/>
      <c r="N57" s="10"/>
      <c r="O57" s="16"/>
    </row>
    <row r="58" spans="1:15" ht="12.75">
      <c r="A58" s="24">
        <f t="shared" si="23"/>
        <v>49</v>
      </c>
      <c r="B58" s="37">
        <f t="shared" si="15"/>
        <v>1424.75</v>
      </c>
      <c r="C58" s="20">
        <f t="shared" si="16"/>
        <v>356.1875</v>
      </c>
      <c r="D58" s="21">
        <f t="shared" si="17"/>
        <v>49</v>
      </c>
      <c r="E58" s="21">
        <f t="shared" si="18"/>
        <v>307.1875</v>
      </c>
      <c r="F58" s="20">
        <f t="shared" si="19"/>
        <v>0.1875</v>
      </c>
      <c r="G58" s="10">
        <f t="shared" si="20"/>
        <v>-1</v>
      </c>
      <c r="H58" s="10">
        <f t="shared" si="21"/>
        <v>-1</v>
      </c>
      <c r="I58" s="16">
        <f t="shared" si="22"/>
        <v>-1</v>
      </c>
      <c r="K58" s="20"/>
      <c r="L58" s="16"/>
      <c r="M58" s="24"/>
      <c r="N58" s="10"/>
      <c r="O58" s="16"/>
    </row>
    <row r="59" spans="1:15" ht="12.75">
      <c r="A59" s="24">
        <f t="shared" si="23"/>
        <v>50</v>
      </c>
      <c r="B59" s="37">
        <f t="shared" si="15"/>
        <v>1425</v>
      </c>
      <c r="C59" s="20">
        <f t="shared" si="16"/>
        <v>356.25</v>
      </c>
      <c r="D59" s="21">
        <f t="shared" si="17"/>
        <v>50</v>
      </c>
      <c r="E59" s="21">
        <f t="shared" si="18"/>
        <v>306.25</v>
      </c>
      <c r="F59" s="20">
        <f t="shared" si="19"/>
        <v>0.0625</v>
      </c>
      <c r="G59" s="10">
        <f t="shared" si="20"/>
        <v>356.25</v>
      </c>
      <c r="H59" s="10">
        <f t="shared" si="21"/>
        <v>-1</v>
      </c>
      <c r="I59" s="16">
        <f t="shared" si="22"/>
        <v>-1</v>
      </c>
      <c r="J59" s="42" t="s">
        <v>50</v>
      </c>
      <c r="K59" s="20"/>
      <c r="L59" s="16"/>
      <c r="M59" s="15"/>
      <c r="N59" s="10"/>
      <c r="O59" s="16"/>
    </row>
    <row r="60" spans="1:15" ht="12.75">
      <c r="A60" s="24">
        <f t="shared" si="23"/>
        <v>51</v>
      </c>
      <c r="B60" s="37">
        <f t="shared" si="15"/>
        <v>1424.75</v>
      </c>
      <c r="C60" s="20">
        <f t="shared" si="16"/>
        <v>356.1875</v>
      </c>
      <c r="D60" s="21">
        <f t="shared" si="17"/>
        <v>51</v>
      </c>
      <c r="E60" s="21">
        <f t="shared" si="18"/>
        <v>305.1875</v>
      </c>
      <c r="F60" s="20">
        <f t="shared" si="19"/>
        <v>-0.0625</v>
      </c>
      <c r="G60" s="10">
        <f t="shared" si="20"/>
        <v>-1</v>
      </c>
      <c r="H60" s="10">
        <f t="shared" si="21"/>
        <v>-1</v>
      </c>
      <c r="I60" s="16">
        <f t="shared" si="22"/>
        <v>-1</v>
      </c>
      <c r="J60" s="20"/>
      <c r="K60" s="20"/>
      <c r="L60" s="16"/>
      <c r="M60" s="15"/>
      <c r="N60" s="10"/>
      <c r="O60" s="16"/>
    </row>
    <row r="61" spans="1:15" ht="12.75">
      <c r="A61" s="24">
        <f t="shared" si="23"/>
        <v>52</v>
      </c>
      <c r="B61" s="37">
        <f t="shared" si="15"/>
        <v>1424</v>
      </c>
      <c r="C61" s="20">
        <f t="shared" si="16"/>
        <v>356</v>
      </c>
      <c r="D61" s="21">
        <f t="shared" si="17"/>
        <v>52</v>
      </c>
      <c r="E61" s="21">
        <f t="shared" si="18"/>
        <v>304</v>
      </c>
      <c r="F61" s="20">
        <f t="shared" si="19"/>
        <v>-0.1875</v>
      </c>
      <c r="G61" s="10">
        <f t="shared" si="20"/>
        <v>-1</v>
      </c>
      <c r="H61" s="10">
        <f t="shared" si="21"/>
        <v>-1</v>
      </c>
      <c r="I61" s="16">
        <f t="shared" si="22"/>
        <v>-1</v>
      </c>
      <c r="J61" s="20"/>
      <c r="K61" s="20"/>
      <c r="L61" s="16"/>
      <c r="M61" s="15"/>
      <c r="N61" s="10"/>
      <c r="O61" s="16"/>
    </row>
    <row r="62" spans="1:15" ht="12.75">
      <c r="A62" s="24">
        <f t="shared" si="23"/>
        <v>53</v>
      </c>
      <c r="B62" s="37">
        <f t="shared" si="15"/>
        <v>1422.75</v>
      </c>
      <c r="C62" s="20">
        <f t="shared" si="16"/>
        <v>355.6875</v>
      </c>
      <c r="D62" s="21">
        <f t="shared" si="17"/>
        <v>53</v>
      </c>
      <c r="E62" s="21">
        <f t="shared" si="18"/>
        <v>302.6875</v>
      </c>
      <c r="F62" s="20">
        <f t="shared" si="19"/>
        <v>-0.3125</v>
      </c>
      <c r="G62" s="10">
        <f t="shared" si="20"/>
        <v>-1</v>
      </c>
      <c r="H62" s="10">
        <f t="shared" si="21"/>
        <v>-1</v>
      </c>
      <c r="I62" s="16">
        <f t="shared" si="22"/>
        <v>-1</v>
      </c>
      <c r="J62" s="20"/>
      <c r="K62" s="20"/>
      <c r="L62" s="16"/>
      <c r="M62" s="15"/>
      <c r="N62" s="10"/>
      <c r="O62" s="16"/>
    </row>
    <row r="63" spans="1:15" ht="12.75">
      <c r="A63" s="24">
        <f t="shared" si="23"/>
        <v>54</v>
      </c>
      <c r="B63" s="37">
        <f t="shared" si="15"/>
        <v>1421</v>
      </c>
      <c r="C63" s="20">
        <f t="shared" si="16"/>
        <v>355.25</v>
      </c>
      <c r="D63" s="21">
        <f t="shared" si="17"/>
        <v>54</v>
      </c>
      <c r="E63" s="21">
        <f t="shared" si="18"/>
        <v>301.25</v>
      </c>
      <c r="F63" s="20">
        <f t="shared" si="19"/>
        <v>-0.4375</v>
      </c>
      <c r="G63" s="10">
        <f t="shared" si="20"/>
        <v>-1</v>
      </c>
      <c r="H63" s="10">
        <f t="shared" si="21"/>
        <v>-1</v>
      </c>
      <c r="I63" s="16">
        <f t="shared" si="22"/>
        <v>-1</v>
      </c>
      <c r="J63" s="20"/>
      <c r="K63" s="20"/>
      <c r="L63" s="16"/>
      <c r="M63" s="15"/>
      <c r="N63" s="10"/>
      <c r="O63" s="16"/>
    </row>
    <row r="64" spans="1:15" ht="12.75">
      <c r="A64" s="24">
        <f t="shared" si="23"/>
        <v>55</v>
      </c>
      <c r="B64" s="37">
        <f t="shared" si="15"/>
        <v>1418.75</v>
      </c>
      <c r="C64" s="20">
        <f t="shared" si="16"/>
        <v>354.6875</v>
      </c>
      <c r="D64" s="21">
        <f t="shared" si="17"/>
        <v>55</v>
      </c>
      <c r="E64" s="21">
        <f t="shared" si="18"/>
        <v>299.6875</v>
      </c>
      <c r="F64" s="20">
        <f t="shared" si="19"/>
        <v>-0.5625</v>
      </c>
      <c r="G64" s="10">
        <f t="shared" si="20"/>
        <v>-1</v>
      </c>
      <c r="H64" s="10">
        <f t="shared" si="21"/>
        <v>-1</v>
      </c>
      <c r="I64" s="16">
        <f t="shared" si="22"/>
        <v>-1</v>
      </c>
      <c r="J64" s="20"/>
      <c r="K64" s="20"/>
      <c r="L64" s="16"/>
      <c r="M64" s="15"/>
      <c r="N64" s="10"/>
      <c r="O64" s="16"/>
    </row>
    <row r="65" spans="1:15" ht="12.75">
      <c r="A65" s="24">
        <f t="shared" si="23"/>
        <v>56</v>
      </c>
      <c r="B65" s="37">
        <f t="shared" si="15"/>
        <v>1416</v>
      </c>
      <c r="C65" s="20">
        <f t="shared" si="16"/>
        <v>354</v>
      </c>
      <c r="D65" s="21">
        <f t="shared" si="17"/>
        <v>56</v>
      </c>
      <c r="E65" s="21">
        <f t="shared" si="18"/>
        <v>298</v>
      </c>
      <c r="F65" s="20">
        <f t="shared" si="19"/>
        <v>-0.6875</v>
      </c>
      <c r="G65" s="10">
        <f t="shared" si="20"/>
        <v>-1</v>
      </c>
      <c r="H65" s="10">
        <f t="shared" si="21"/>
        <v>-1</v>
      </c>
      <c r="I65" s="16">
        <f t="shared" si="22"/>
        <v>-1</v>
      </c>
      <c r="J65" s="20"/>
      <c r="K65" s="20"/>
      <c r="L65" s="16"/>
      <c r="M65" s="15"/>
      <c r="N65" s="10"/>
      <c r="O65" s="16"/>
    </row>
    <row r="66" spans="1:15" ht="12.75">
      <c r="A66" s="24">
        <f t="shared" si="23"/>
        <v>57</v>
      </c>
      <c r="B66" s="37">
        <f t="shared" si="15"/>
        <v>1412.75</v>
      </c>
      <c r="C66" s="20">
        <f t="shared" si="16"/>
        <v>353.1875</v>
      </c>
      <c r="D66" s="21">
        <f t="shared" si="17"/>
        <v>57</v>
      </c>
      <c r="E66" s="21">
        <f t="shared" si="18"/>
        <v>296.1875</v>
      </c>
      <c r="F66" s="20">
        <f t="shared" si="19"/>
        <v>-0.8125</v>
      </c>
      <c r="G66" s="10">
        <f t="shared" si="20"/>
        <v>-1</v>
      </c>
      <c r="H66" s="10">
        <f t="shared" si="21"/>
        <v>-1</v>
      </c>
      <c r="I66" s="16">
        <f t="shared" si="22"/>
        <v>-1</v>
      </c>
      <c r="J66" s="20"/>
      <c r="K66" s="20"/>
      <c r="L66" s="16"/>
      <c r="M66" s="15"/>
      <c r="N66" s="10"/>
      <c r="O66" s="16"/>
    </row>
    <row r="67" spans="1:15" ht="12.75">
      <c r="A67" s="24">
        <f t="shared" si="23"/>
        <v>58</v>
      </c>
      <c r="B67" s="37">
        <f t="shared" si="15"/>
        <v>1409</v>
      </c>
      <c r="C67" s="20">
        <f t="shared" si="16"/>
        <v>352.25</v>
      </c>
      <c r="D67" s="21">
        <f t="shared" si="17"/>
        <v>58</v>
      </c>
      <c r="E67" s="21">
        <f t="shared" si="18"/>
        <v>294.25</v>
      </c>
      <c r="F67" s="20">
        <f t="shared" si="19"/>
        <v>-0.9375</v>
      </c>
      <c r="G67" s="10">
        <f t="shared" si="20"/>
        <v>-1</v>
      </c>
      <c r="H67" s="10">
        <f t="shared" si="21"/>
        <v>-1</v>
      </c>
      <c r="I67" s="16">
        <f t="shared" si="22"/>
        <v>-1</v>
      </c>
      <c r="J67" s="20"/>
      <c r="K67" s="20"/>
      <c r="L67" s="16"/>
      <c r="M67" s="15"/>
      <c r="N67" s="10"/>
      <c r="O67" s="16"/>
    </row>
    <row r="68" spans="1:15" ht="12.75">
      <c r="A68" s="24">
        <f t="shared" si="23"/>
        <v>59</v>
      </c>
      <c r="B68" s="37">
        <f t="shared" si="15"/>
        <v>1404.75</v>
      </c>
      <c r="C68" s="20">
        <f t="shared" si="16"/>
        <v>351.1875</v>
      </c>
      <c r="D68" s="21">
        <f t="shared" si="17"/>
        <v>59</v>
      </c>
      <c r="E68" s="21">
        <f t="shared" si="18"/>
        <v>292.1875</v>
      </c>
      <c r="F68" s="20">
        <f t="shared" si="19"/>
        <v>-1.0625</v>
      </c>
      <c r="G68" s="10">
        <f t="shared" si="20"/>
        <v>-1</v>
      </c>
      <c r="H68" s="10">
        <f t="shared" si="21"/>
        <v>-1</v>
      </c>
      <c r="I68" s="16">
        <f t="shared" si="22"/>
        <v>-1</v>
      </c>
      <c r="J68" s="20"/>
      <c r="K68" s="20"/>
      <c r="L68" s="16"/>
      <c r="M68" s="15"/>
      <c r="N68" s="10"/>
      <c r="O68" s="16"/>
    </row>
    <row r="69" spans="1:15" ht="12.75">
      <c r="A69" s="24">
        <f t="shared" si="23"/>
        <v>60</v>
      </c>
      <c r="B69" s="37">
        <f t="shared" si="15"/>
        <v>1400</v>
      </c>
      <c r="C69" s="20">
        <f t="shared" si="16"/>
        <v>350</v>
      </c>
      <c r="D69" s="21">
        <f t="shared" si="17"/>
        <v>60</v>
      </c>
      <c r="E69" s="21">
        <f t="shared" si="18"/>
        <v>290</v>
      </c>
      <c r="F69" s="20">
        <f t="shared" si="19"/>
        <v>-1.1875</v>
      </c>
      <c r="G69" s="10">
        <f t="shared" si="20"/>
        <v>-1</v>
      </c>
      <c r="H69" s="10">
        <f t="shared" si="21"/>
        <v>-1</v>
      </c>
      <c r="I69" s="16">
        <f t="shared" si="22"/>
        <v>-1</v>
      </c>
      <c r="J69" s="20"/>
      <c r="K69" s="20"/>
      <c r="L69" s="16"/>
      <c r="M69" s="15"/>
      <c r="N69" s="10"/>
      <c r="O69" s="16"/>
    </row>
    <row r="70" spans="1:15" ht="12.75">
      <c r="A70" s="24"/>
      <c r="B70" s="37"/>
      <c r="C70" s="20"/>
      <c r="D70" s="21"/>
      <c r="E70" s="21"/>
      <c r="F70" s="20"/>
      <c r="G70" s="10"/>
      <c r="H70" s="10"/>
      <c r="I70" s="16"/>
      <c r="J70" s="20"/>
      <c r="K70" s="20"/>
      <c r="L70" s="16"/>
      <c r="M70" s="15"/>
      <c r="N70" s="10"/>
      <c r="O70" s="16"/>
    </row>
    <row r="71" spans="1:15" ht="12.75">
      <c r="A71" s="24"/>
      <c r="B71" s="37"/>
      <c r="C71" s="20"/>
      <c r="D71" s="21"/>
      <c r="E71" s="21"/>
      <c r="F71" s="20"/>
      <c r="G71" s="10"/>
      <c r="H71" s="10"/>
      <c r="I71" s="16"/>
      <c r="J71" s="20"/>
      <c r="K71" s="20"/>
      <c r="L71" s="16"/>
      <c r="M71" s="15"/>
      <c r="N71" s="10"/>
      <c r="O71" s="16"/>
    </row>
    <row r="72" spans="1:15" ht="12.75">
      <c r="A72" s="24"/>
      <c r="B72" s="37"/>
      <c r="C72" s="20"/>
      <c r="D72" s="21"/>
      <c r="E72" s="21"/>
      <c r="F72" s="20"/>
      <c r="G72" s="10"/>
      <c r="H72" s="10"/>
      <c r="I72" s="16"/>
      <c r="J72" s="20"/>
      <c r="K72" s="20"/>
      <c r="L72" s="16"/>
      <c r="M72" s="15"/>
      <c r="N72" s="10"/>
      <c r="O72" s="16"/>
    </row>
    <row r="73" spans="1:15" ht="12.75">
      <c r="A73" s="24"/>
      <c r="B73" s="37"/>
      <c r="C73" s="20"/>
      <c r="D73" s="21"/>
      <c r="E73" s="21"/>
      <c r="F73" s="20"/>
      <c r="G73" s="10"/>
      <c r="H73" s="10"/>
      <c r="I73" s="16"/>
      <c r="J73" s="20"/>
      <c r="K73" s="20"/>
      <c r="L73" s="16"/>
      <c r="M73" s="15"/>
      <c r="N73" s="10"/>
      <c r="O73" s="16"/>
    </row>
    <row r="74" spans="1:15" ht="12.75">
      <c r="A74" s="24"/>
      <c r="B74" s="37"/>
      <c r="C74" s="20"/>
      <c r="D74" s="21"/>
      <c r="E74" s="21"/>
      <c r="F74" s="20"/>
      <c r="G74" s="10"/>
      <c r="H74" s="10"/>
      <c r="I74" s="16"/>
      <c r="J74" s="20"/>
      <c r="K74" s="20"/>
      <c r="L74" s="16"/>
      <c r="M74" s="15"/>
      <c r="N74" s="10"/>
      <c r="O74" s="16"/>
    </row>
    <row r="75" spans="1:15" ht="12.75">
      <c r="A75" s="24"/>
      <c r="B75" s="37"/>
      <c r="C75" s="20"/>
      <c r="D75" s="21"/>
      <c r="E75" s="21"/>
      <c r="F75" s="20"/>
      <c r="G75" s="10"/>
      <c r="H75" s="10"/>
      <c r="I75" s="16"/>
      <c r="J75" s="20"/>
      <c r="K75" s="20"/>
      <c r="L75" s="16"/>
      <c r="M75" s="15"/>
      <c r="N75" s="10"/>
      <c r="O75" s="16"/>
    </row>
    <row r="76" spans="1:15" ht="12.75">
      <c r="A76" s="24"/>
      <c r="B76" s="37"/>
      <c r="C76" s="20"/>
      <c r="D76" s="21"/>
      <c r="E76" s="21"/>
      <c r="F76" s="20"/>
      <c r="G76" s="10"/>
      <c r="H76" s="10"/>
      <c r="I76" s="16"/>
      <c r="J76" s="20"/>
      <c r="K76" s="20"/>
      <c r="L76" s="16"/>
      <c r="M76" s="15"/>
      <c r="N76" s="10"/>
      <c r="O76" s="16"/>
    </row>
    <row r="77" spans="1:15" ht="12.75">
      <c r="A77" s="24"/>
      <c r="B77" s="37"/>
      <c r="C77" s="20"/>
      <c r="D77" s="21"/>
      <c r="E77" s="21"/>
      <c r="F77" s="20"/>
      <c r="G77" s="10"/>
      <c r="H77" s="10"/>
      <c r="I77" s="16"/>
      <c r="J77" s="20"/>
      <c r="K77" s="20"/>
      <c r="L77" s="16"/>
      <c r="M77" s="15"/>
      <c r="N77" s="10"/>
      <c r="O77" s="16"/>
    </row>
    <row r="78" spans="1:15" ht="12.75">
      <c r="A78" s="24"/>
      <c r="B78" s="37"/>
      <c r="C78" s="20"/>
      <c r="D78" s="21"/>
      <c r="E78" s="21"/>
      <c r="F78" s="20"/>
      <c r="G78" s="10"/>
      <c r="H78" s="10"/>
      <c r="I78" s="16"/>
      <c r="J78" s="20"/>
      <c r="K78" s="20"/>
      <c r="L78" s="16"/>
      <c r="M78" s="15"/>
      <c r="N78" s="10"/>
      <c r="O78" s="16"/>
    </row>
    <row r="79" spans="1:15" ht="12.75">
      <c r="A79" s="24"/>
      <c r="B79" s="37"/>
      <c r="C79" s="20"/>
      <c r="D79" s="21"/>
      <c r="E79" s="21"/>
      <c r="F79" s="20"/>
      <c r="G79" s="10"/>
      <c r="H79" s="10"/>
      <c r="I79" s="16"/>
      <c r="J79" s="20"/>
      <c r="K79" s="20"/>
      <c r="L79" s="16"/>
      <c r="M79" s="15"/>
      <c r="N79" s="10"/>
      <c r="O79" s="16"/>
    </row>
    <row r="80" spans="1:15" ht="12.75">
      <c r="A80" s="24"/>
      <c r="B80" s="37"/>
      <c r="C80" s="20"/>
      <c r="D80" s="21"/>
      <c r="E80" s="21"/>
      <c r="F80" s="20"/>
      <c r="G80" s="10"/>
      <c r="H80" s="10"/>
      <c r="I80" s="16"/>
      <c r="J80" s="20"/>
      <c r="K80" s="20"/>
      <c r="L80" s="16"/>
      <c r="M80" s="15"/>
      <c r="N80" s="10"/>
      <c r="O80" s="16"/>
    </row>
    <row r="81" spans="1:15" ht="12.75">
      <c r="A81" s="24"/>
      <c r="B81" s="37"/>
      <c r="C81" s="20"/>
      <c r="D81" s="21"/>
      <c r="E81" s="21"/>
      <c r="F81" s="20"/>
      <c r="G81" s="10"/>
      <c r="H81" s="10"/>
      <c r="I81" s="16"/>
      <c r="J81" s="20"/>
      <c r="K81" s="20"/>
      <c r="L81" s="16"/>
      <c r="M81" s="15"/>
      <c r="N81" s="10"/>
      <c r="O81" s="16"/>
    </row>
    <row r="82" spans="1:15" ht="12.75">
      <c r="A82" s="24"/>
      <c r="B82" s="37"/>
      <c r="C82" s="20"/>
      <c r="D82" s="21"/>
      <c r="E82" s="21"/>
      <c r="F82" s="20"/>
      <c r="G82" s="10"/>
      <c r="H82" s="10"/>
      <c r="I82" s="16"/>
      <c r="J82" s="20"/>
      <c r="K82" s="20"/>
      <c r="L82" s="16"/>
      <c r="M82" s="15"/>
      <c r="N82" s="10"/>
      <c r="O82" s="16"/>
    </row>
    <row r="83" spans="1:15" ht="12.75">
      <c r="A83" s="24"/>
      <c r="B83" s="37"/>
      <c r="C83" s="20"/>
      <c r="D83" s="21"/>
      <c r="E83" s="21"/>
      <c r="F83" s="20"/>
      <c r="G83" s="10"/>
      <c r="H83" s="10"/>
      <c r="I83" s="16"/>
      <c r="J83" s="15"/>
      <c r="K83" s="20"/>
      <c r="L83" s="16"/>
      <c r="M83" s="15"/>
      <c r="N83" s="10"/>
      <c r="O83" s="16"/>
    </row>
    <row r="84" spans="1:15" ht="12.75">
      <c r="A84" s="24"/>
      <c r="B84" s="37"/>
      <c r="C84" s="20"/>
      <c r="D84" s="21"/>
      <c r="E84" s="21"/>
      <c r="F84" s="20"/>
      <c r="G84" s="10"/>
      <c r="H84" s="10"/>
      <c r="I84" s="16"/>
      <c r="J84" s="15"/>
      <c r="K84" s="20"/>
      <c r="L84" s="16"/>
      <c r="M84" s="15"/>
      <c r="N84" s="10"/>
      <c r="O84" s="16"/>
    </row>
    <row r="85" spans="1:15" ht="12.75">
      <c r="A85" s="24"/>
      <c r="B85" s="37"/>
      <c r="C85" s="20"/>
      <c r="D85" s="21"/>
      <c r="E85" s="21"/>
      <c r="F85" s="20"/>
      <c r="G85" s="10"/>
      <c r="H85" s="10"/>
      <c r="I85" s="16"/>
      <c r="J85" s="15"/>
      <c r="K85" s="20"/>
      <c r="L85" s="16"/>
      <c r="M85" s="15"/>
      <c r="N85" s="10"/>
      <c r="O85" s="16"/>
    </row>
    <row r="86" spans="1:15" ht="12.75">
      <c r="A86" s="24"/>
      <c r="B86" s="37"/>
      <c r="C86" s="20"/>
      <c r="D86" s="21"/>
      <c r="E86" s="21"/>
      <c r="F86" s="20"/>
      <c r="G86" s="10"/>
      <c r="H86" s="10"/>
      <c r="I86" s="16"/>
      <c r="J86" s="15"/>
      <c r="K86" s="20"/>
      <c r="L86" s="16"/>
      <c r="M86" s="15"/>
      <c r="N86" s="10"/>
      <c r="O86" s="16"/>
    </row>
    <row r="87" spans="1:15" ht="12.75">
      <c r="A87" s="24"/>
      <c r="B87" s="37"/>
      <c r="C87" s="20"/>
      <c r="D87" s="21"/>
      <c r="E87" s="21"/>
      <c r="F87" s="20"/>
      <c r="G87" s="10"/>
      <c r="H87" s="10"/>
      <c r="I87" s="16"/>
      <c r="J87" s="15"/>
      <c r="K87" s="20"/>
      <c r="L87" s="16"/>
      <c r="M87" s="15"/>
      <c r="N87" s="10"/>
      <c r="O87" s="16"/>
    </row>
    <row r="88" spans="1:15" ht="12.75">
      <c r="A88" s="24"/>
      <c r="B88" s="37"/>
      <c r="C88" s="20"/>
      <c r="D88" s="21"/>
      <c r="E88" s="21"/>
      <c r="F88" s="20"/>
      <c r="G88" s="10"/>
      <c r="H88" s="10"/>
      <c r="I88" s="16"/>
      <c r="J88" s="15"/>
      <c r="K88" s="20"/>
      <c r="L88" s="16"/>
      <c r="M88" s="15"/>
      <c r="N88" s="10"/>
      <c r="O88" s="16"/>
    </row>
    <row r="89" spans="1:15" ht="12.75">
      <c r="A89" s="24"/>
      <c r="B89" s="37"/>
      <c r="C89" s="20"/>
      <c r="D89" s="21"/>
      <c r="E89" s="21"/>
      <c r="F89" s="20"/>
      <c r="G89" s="10"/>
      <c r="H89" s="10"/>
      <c r="I89" s="16"/>
      <c r="J89" s="15"/>
      <c r="K89" s="20"/>
      <c r="L89" s="16"/>
      <c r="M89" s="15"/>
      <c r="N89" s="10"/>
      <c r="O89" s="16"/>
    </row>
    <row r="90" spans="1:15" ht="12.75">
      <c r="A90" s="24"/>
      <c r="B90" s="37"/>
      <c r="C90" s="20"/>
      <c r="D90" s="21"/>
      <c r="E90" s="21"/>
      <c r="F90" s="20"/>
      <c r="G90" s="10"/>
      <c r="H90" s="10"/>
      <c r="I90" s="16"/>
      <c r="J90" s="15"/>
      <c r="K90" s="20"/>
      <c r="L90" s="16"/>
      <c r="M90" s="15"/>
      <c r="N90" s="10"/>
      <c r="O90" s="16"/>
    </row>
    <row r="91" spans="1:15" ht="12.75">
      <c r="A91" s="24"/>
      <c r="B91" s="37"/>
      <c r="C91" s="20"/>
      <c r="D91" s="21"/>
      <c r="E91" s="21"/>
      <c r="F91" s="20"/>
      <c r="G91" s="10"/>
      <c r="H91" s="10"/>
      <c r="I91" s="16"/>
      <c r="J91" s="15"/>
      <c r="K91" s="20"/>
      <c r="L91" s="16"/>
      <c r="M91" s="15"/>
      <c r="N91" s="10"/>
      <c r="O91" s="16"/>
    </row>
    <row r="92" spans="1:15" ht="12.75">
      <c r="A92" s="24"/>
      <c r="B92" s="37"/>
      <c r="C92" s="20"/>
      <c r="D92" s="21"/>
      <c r="E92" s="21"/>
      <c r="F92" s="20"/>
      <c r="G92" s="10"/>
      <c r="H92" s="10"/>
      <c r="I92" s="16"/>
      <c r="J92" s="15"/>
      <c r="K92" s="20"/>
      <c r="L92" s="16"/>
      <c r="M92" s="15"/>
      <c r="N92" s="10"/>
      <c r="O92" s="16"/>
    </row>
    <row r="93" spans="1:15" ht="12.75">
      <c r="A93" s="24"/>
      <c r="B93" s="37"/>
      <c r="C93" s="20"/>
      <c r="D93" s="21"/>
      <c r="E93" s="21"/>
      <c r="F93" s="20"/>
      <c r="G93" s="10"/>
      <c r="H93" s="10"/>
      <c r="I93" s="16"/>
      <c r="J93" s="15"/>
      <c r="K93" s="20"/>
      <c r="L93" s="16"/>
      <c r="M93" s="15"/>
      <c r="N93" s="10"/>
      <c r="O93" s="16"/>
    </row>
    <row r="94" spans="1:15" ht="12.75">
      <c r="A94" s="24"/>
      <c r="B94" s="37"/>
      <c r="C94" s="20"/>
      <c r="D94" s="21"/>
      <c r="E94" s="21"/>
      <c r="F94" s="20"/>
      <c r="G94" s="10"/>
      <c r="H94" s="10"/>
      <c r="I94" s="16"/>
      <c r="J94" s="15"/>
      <c r="K94" s="20"/>
      <c r="L94" s="16"/>
      <c r="M94" s="15"/>
      <c r="N94" s="10"/>
      <c r="O94" s="16"/>
    </row>
    <row r="95" spans="1:15" ht="12.75">
      <c r="A95" s="24"/>
      <c r="B95" s="37"/>
      <c r="C95" s="20"/>
      <c r="D95" s="21"/>
      <c r="E95" s="21"/>
      <c r="F95" s="20"/>
      <c r="G95" s="10"/>
      <c r="H95" s="10"/>
      <c r="I95" s="16"/>
      <c r="J95" s="15"/>
      <c r="K95" s="20"/>
      <c r="L95" s="16"/>
      <c r="M95" s="15"/>
      <c r="N95" s="10"/>
      <c r="O95" s="16"/>
    </row>
    <row r="96" spans="1:15" ht="12.75">
      <c r="A96" s="24"/>
      <c r="B96" s="37"/>
      <c r="C96" s="20"/>
      <c r="D96" s="21"/>
      <c r="E96" s="21"/>
      <c r="F96" s="20"/>
      <c r="G96" s="10"/>
      <c r="H96" s="10"/>
      <c r="I96" s="16"/>
      <c r="J96" s="15"/>
      <c r="K96" s="20"/>
      <c r="L96" s="16"/>
      <c r="M96" s="15"/>
      <c r="N96" s="10"/>
      <c r="O96" s="16"/>
    </row>
    <row r="97" spans="1:15" ht="12.75">
      <c r="A97" s="24"/>
      <c r="B97" s="37"/>
      <c r="C97" s="20"/>
      <c r="D97" s="21"/>
      <c r="E97" s="21"/>
      <c r="F97" s="20"/>
      <c r="G97" s="10"/>
      <c r="H97" s="10"/>
      <c r="I97" s="16"/>
      <c r="J97" s="15"/>
      <c r="K97" s="20"/>
      <c r="L97" s="16"/>
      <c r="M97" s="15"/>
      <c r="N97" s="10"/>
      <c r="O97" s="16"/>
    </row>
    <row r="98" spans="1:15" ht="12.75">
      <c r="A98" s="24"/>
      <c r="B98" s="37"/>
      <c r="C98" s="20"/>
      <c r="D98" s="21"/>
      <c r="E98" s="21"/>
      <c r="F98" s="20"/>
      <c r="G98" s="10"/>
      <c r="H98" s="10"/>
      <c r="I98" s="16"/>
      <c r="J98" s="29"/>
      <c r="K98" s="26"/>
      <c r="L98" s="28"/>
      <c r="M98" s="15"/>
      <c r="N98" s="10"/>
      <c r="O98" s="16"/>
    </row>
    <row r="99" spans="1:15" ht="12.75">
      <c r="A99" s="25"/>
      <c r="B99" s="51"/>
      <c r="C99" s="26"/>
      <c r="D99" s="27"/>
      <c r="E99" s="27"/>
      <c r="F99" s="26"/>
      <c r="G99" s="12"/>
      <c r="H99" s="12"/>
      <c r="I99" s="28"/>
      <c r="M99" s="29"/>
      <c r="N99" s="12"/>
      <c r="O99" s="28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S98"/>
  <sheetViews>
    <sheetView zoomScalePageLayoutView="0" workbookViewId="0" topLeftCell="A1">
      <pane ySplit="7" topLeftCell="A43" activePane="bottomLeft" state="frozen"/>
      <selection pane="topLeft" activeCell="A1" sqref="A1"/>
      <selection pane="bottomLeft" activeCell="J53" sqref="J53"/>
    </sheetView>
  </sheetViews>
  <sheetFormatPr defaultColWidth="9.140625" defaultRowHeight="12.75"/>
  <cols>
    <col min="9" max="10" width="10.140625" style="0" customWidth="1"/>
    <col min="11" max="11" width="11.57421875" style="0" customWidth="1"/>
    <col min="12" max="12" width="11.8515625" style="0" customWidth="1"/>
    <col min="13" max="13" width="12.57421875" style="0" customWidth="1"/>
  </cols>
  <sheetData>
    <row r="1" ht="22.5" customHeight="1">
      <c r="A1" s="79" t="s">
        <v>32</v>
      </c>
    </row>
    <row r="3" spans="1:19" ht="12.75">
      <c r="A3" s="13" t="s">
        <v>41</v>
      </c>
      <c r="B3" s="9"/>
      <c r="C3" s="9"/>
      <c r="D3" s="9"/>
      <c r="E3" s="9"/>
      <c r="F3" s="9"/>
      <c r="G3" s="9"/>
      <c r="H3" s="14"/>
      <c r="I3" s="13" t="s">
        <v>42</v>
      </c>
      <c r="J3" s="9"/>
      <c r="K3" s="14"/>
      <c r="L3" s="13" t="s">
        <v>43</v>
      </c>
      <c r="M3" s="9"/>
      <c r="N3" s="9"/>
      <c r="O3" s="13" t="s">
        <v>75</v>
      </c>
      <c r="P3" s="9"/>
      <c r="Q3" s="9"/>
      <c r="R3" s="9"/>
      <c r="S3" s="14"/>
    </row>
    <row r="4" spans="1:19" ht="12.75">
      <c r="A4" s="15"/>
      <c r="B4" s="10"/>
      <c r="C4" s="10"/>
      <c r="D4" s="10"/>
      <c r="E4" s="10"/>
      <c r="F4" s="10" t="s">
        <v>22</v>
      </c>
      <c r="G4" s="10"/>
      <c r="H4" s="16"/>
      <c r="I4" s="15"/>
      <c r="J4" s="10"/>
      <c r="K4" s="16"/>
      <c r="L4" s="15"/>
      <c r="M4" s="10"/>
      <c r="N4" s="10"/>
      <c r="O4" s="15" t="s">
        <v>76</v>
      </c>
      <c r="P4" s="10"/>
      <c r="Q4" s="10" t="s">
        <v>79</v>
      </c>
      <c r="R4" s="10" t="s">
        <v>81</v>
      </c>
      <c r="S4" s="16" t="s">
        <v>84</v>
      </c>
    </row>
    <row r="5" spans="1:19" ht="12.75">
      <c r="A5" s="15" t="s">
        <v>6</v>
      </c>
      <c r="B5" s="10" t="s">
        <v>9</v>
      </c>
      <c r="C5" s="10" t="s">
        <v>19</v>
      </c>
      <c r="D5" s="10" t="s">
        <v>20</v>
      </c>
      <c r="E5" s="10" t="s">
        <v>12</v>
      </c>
      <c r="F5" s="10" t="s">
        <v>23</v>
      </c>
      <c r="G5" s="10" t="s">
        <v>5</v>
      </c>
      <c r="H5" s="16" t="s">
        <v>26</v>
      </c>
      <c r="I5" s="10" t="s">
        <v>27</v>
      </c>
      <c r="J5" s="10" t="s">
        <v>6</v>
      </c>
      <c r="K5" s="16" t="s">
        <v>6</v>
      </c>
      <c r="L5" s="32" t="s">
        <v>40</v>
      </c>
      <c r="M5" s="30" t="s">
        <v>40</v>
      </c>
      <c r="N5" s="30" t="s">
        <v>40</v>
      </c>
      <c r="O5" s="32" t="s">
        <v>77</v>
      </c>
      <c r="P5" s="30" t="s">
        <v>78</v>
      </c>
      <c r="Q5" s="30" t="s">
        <v>80</v>
      </c>
      <c r="R5" s="30" t="s">
        <v>82</v>
      </c>
      <c r="S5" s="33" t="s">
        <v>85</v>
      </c>
    </row>
    <row r="6" spans="1:19" ht="12.75">
      <c r="A6" s="17" t="s">
        <v>7</v>
      </c>
      <c r="B6" s="18" t="s">
        <v>8</v>
      </c>
      <c r="C6" s="18" t="s">
        <v>10</v>
      </c>
      <c r="D6" s="18" t="s">
        <v>21</v>
      </c>
      <c r="E6" s="18" t="s">
        <v>11</v>
      </c>
      <c r="F6" s="18" t="s">
        <v>24</v>
      </c>
      <c r="G6" s="18" t="s">
        <v>25</v>
      </c>
      <c r="H6" s="19"/>
      <c r="I6" s="18" t="s">
        <v>28</v>
      </c>
      <c r="J6" s="18" t="s">
        <v>28</v>
      </c>
      <c r="K6" s="19" t="s">
        <v>38</v>
      </c>
      <c r="L6" s="34" t="s">
        <v>39</v>
      </c>
      <c r="M6" s="31" t="s">
        <v>28</v>
      </c>
      <c r="N6" s="31" t="s">
        <v>38</v>
      </c>
      <c r="O6" s="34"/>
      <c r="P6" s="10"/>
      <c r="Q6" s="10"/>
      <c r="R6" s="10" t="s">
        <v>83</v>
      </c>
      <c r="S6" s="16" t="s">
        <v>86</v>
      </c>
    </row>
    <row r="7" spans="1:19" ht="12.75">
      <c r="A7" s="17"/>
      <c r="B7" s="18"/>
      <c r="C7" s="18"/>
      <c r="D7" s="18"/>
      <c r="E7" s="18"/>
      <c r="F7" s="18"/>
      <c r="G7" s="18"/>
      <c r="H7" s="19"/>
      <c r="I7" s="30" t="s">
        <v>36</v>
      </c>
      <c r="J7" s="10" t="s">
        <v>37</v>
      </c>
      <c r="K7" s="16" t="s">
        <v>37</v>
      </c>
      <c r="L7" s="15"/>
      <c r="M7" s="10" t="s">
        <v>37</v>
      </c>
      <c r="N7" s="10" t="s">
        <v>37</v>
      </c>
      <c r="O7" s="15"/>
      <c r="P7" s="10"/>
      <c r="Q7" s="10"/>
      <c r="R7" s="10"/>
      <c r="S7" s="16"/>
    </row>
    <row r="8" spans="1:19" ht="12.75">
      <c r="A8" s="17"/>
      <c r="B8" s="18"/>
      <c r="C8" s="18"/>
      <c r="D8" s="18"/>
      <c r="E8" s="18"/>
      <c r="F8" s="18"/>
      <c r="G8" s="18"/>
      <c r="H8" s="19"/>
      <c r="I8" s="30"/>
      <c r="J8" s="10"/>
      <c r="K8" s="16"/>
      <c r="L8" s="15"/>
      <c r="M8" s="10"/>
      <c r="N8" s="10"/>
      <c r="O8" s="15"/>
      <c r="P8" s="10"/>
      <c r="Q8" s="10"/>
      <c r="R8" s="10"/>
      <c r="S8" s="16"/>
    </row>
    <row r="9" spans="1:19" ht="12.75">
      <c r="A9" s="17">
        <v>0</v>
      </c>
      <c r="B9" s="20">
        <f aca="true" t="shared" si="0" ref="B9:B40">(P_crop2/1000)*(FRC_a2+FRC_b2*A9+FRC_c2*A9^2)</f>
        <v>200</v>
      </c>
      <c r="C9" s="21">
        <f aca="true" t="shared" si="1" ref="C9:C40">A9*P_fert_sub2/1000</f>
        <v>0</v>
      </c>
      <c r="D9" s="21">
        <f aca="true" t="shared" si="2" ref="D9:D40">B9-C9</f>
        <v>200</v>
      </c>
      <c r="E9" s="20"/>
      <c r="F9" s="10"/>
      <c r="G9" s="22"/>
      <c r="H9" s="23"/>
      <c r="I9" s="37">
        <v>5</v>
      </c>
      <c r="J9" s="37">
        <f>(I9-FDC_a2)/FDC_b2</f>
        <v>2812.5</v>
      </c>
      <c r="K9" s="16">
        <f aca="true" t="shared" si="3" ref="K9:K20">P_fert_sub2</f>
        <v>1000</v>
      </c>
      <c r="L9" s="24">
        <v>5</v>
      </c>
      <c r="M9" s="40"/>
      <c r="N9" s="40"/>
      <c r="O9" s="15"/>
      <c r="P9" s="10"/>
      <c r="Q9" s="10"/>
      <c r="R9" s="10"/>
      <c r="S9" s="16"/>
    </row>
    <row r="10" spans="1:19" ht="12.75">
      <c r="A10" s="24">
        <v>1</v>
      </c>
      <c r="B10" s="20">
        <f t="shared" si="0"/>
        <v>206.1875</v>
      </c>
      <c r="C10" s="21">
        <f t="shared" si="1"/>
        <v>1</v>
      </c>
      <c r="D10" s="21">
        <f t="shared" si="2"/>
        <v>205.1875</v>
      </c>
      <c r="E10" s="20">
        <f aca="true" t="shared" si="4" ref="E10:E41">(B10-B9)/(C10-C9)</f>
        <v>6.1875</v>
      </c>
      <c r="F10" s="10">
        <f aca="true" t="shared" si="5" ref="F10:F41">IF(E10&gt;=0,IF(E11&lt;0,B10,-1),-1)</f>
        <v>-1</v>
      </c>
      <c r="G10" s="10">
        <f aca="true" t="shared" si="6" ref="G10:G41">IF(E10&gt;=1,IF(E11&lt;1,B10,-1),-1)</f>
        <v>-1</v>
      </c>
      <c r="H10" s="16">
        <f aca="true" t="shared" si="7" ref="H10:H41">IF(E10&gt;=VCratio2,IF(E11&lt;VCratio2,B10,-1),-1)</f>
        <v>-1</v>
      </c>
      <c r="I10" s="37">
        <f>I9+5</f>
        <v>10</v>
      </c>
      <c r="J10" s="37">
        <f aca="true" t="shared" si="8" ref="J10:J20">(I10-FDC_a2)/FDC_b2</f>
        <v>2500</v>
      </c>
      <c r="K10" s="16">
        <f t="shared" si="3"/>
        <v>1000</v>
      </c>
      <c r="L10" s="24">
        <f>L9+5</f>
        <v>10</v>
      </c>
      <c r="M10" s="40"/>
      <c r="N10" s="40"/>
      <c r="O10" s="15"/>
      <c r="P10" s="10"/>
      <c r="Q10" s="10"/>
      <c r="R10" s="10"/>
      <c r="S10" s="16"/>
    </row>
    <row r="11" spans="1:19" ht="12.75">
      <c r="A11" s="24">
        <f aca="true" t="shared" si="9" ref="A11:A42">A10+1</f>
        <v>2</v>
      </c>
      <c r="B11" s="20">
        <f t="shared" si="0"/>
        <v>212.25</v>
      </c>
      <c r="C11" s="21">
        <f t="shared" si="1"/>
        <v>2</v>
      </c>
      <c r="D11" s="21">
        <f t="shared" si="2"/>
        <v>210.25</v>
      </c>
      <c r="E11" s="20">
        <f t="shared" si="4"/>
        <v>6.0625</v>
      </c>
      <c r="F11" s="10">
        <f t="shared" si="5"/>
        <v>-1</v>
      </c>
      <c r="G11" s="10">
        <f t="shared" si="6"/>
        <v>-1</v>
      </c>
      <c r="H11" s="16">
        <f t="shared" si="7"/>
        <v>-1</v>
      </c>
      <c r="I11" s="37">
        <f aca="true" t="shared" si="10" ref="I11:I20">I10+5</f>
        <v>15</v>
      </c>
      <c r="J11" s="37">
        <f t="shared" si="8"/>
        <v>2187.5</v>
      </c>
      <c r="K11" s="16">
        <f t="shared" si="3"/>
        <v>1000</v>
      </c>
      <c r="L11" s="24">
        <f aca="true" t="shared" si="11" ref="L11:L33">L10+5</f>
        <v>15</v>
      </c>
      <c r="M11" s="40"/>
      <c r="N11" s="40"/>
      <c r="O11" s="15"/>
      <c r="P11" s="10"/>
      <c r="Q11" s="10"/>
      <c r="R11" s="10"/>
      <c r="S11" s="16"/>
    </row>
    <row r="12" spans="1:19" ht="12.75">
      <c r="A12" s="24">
        <f t="shared" si="9"/>
        <v>3</v>
      </c>
      <c r="B12" s="20">
        <f t="shared" si="0"/>
        <v>218.1875</v>
      </c>
      <c r="C12" s="21">
        <f t="shared" si="1"/>
        <v>3</v>
      </c>
      <c r="D12" s="21">
        <f t="shared" si="2"/>
        <v>215.1875</v>
      </c>
      <c r="E12" s="20">
        <f t="shared" si="4"/>
        <v>5.9375</v>
      </c>
      <c r="F12" s="10">
        <f t="shared" si="5"/>
        <v>-1</v>
      </c>
      <c r="G12" s="10">
        <f t="shared" si="6"/>
        <v>-1</v>
      </c>
      <c r="H12" s="16">
        <f t="shared" si="7"/>
        <v>-1</v>
      </c>
      <c r="I12" s="37">
        <f t="shared" si="10"/>
        <v>20</v>
      </c>
      <c r="J12" s="37">
        <f t="shared" si="8"/>
        <v>1875</v>
      </c>
      <c r="K12" s="16">
        <f t="shared" si="3"/>
        <v>1000</v>
      </c>
      <c r="L12" s="24">
        <f t="shared" si="11"/>
        <v>20</v>
      </c>
      <c r="M12" s="40"/>
      <c r="N12" s="40"/>
      <c r="O12" s="15"/>
      <c r="P12" s="10"/>
      <c r="Q12" s="10"/>
      <c r="R12" s="10"/>
      <c r="S12" s="16"/>
    </row>
    <row r="13" spans="1:19" ht="12.75">
      <c r="A13" s="24">
        <f t="shared" si="9"/>
        <v>4</v>
      </c>
      <c r="B13" s="20">
        <f t="shared" si="0"/>
        <v>224</v>
      </c>
      <c r="C13" s="21">
        <f t="shared" si="1"/>
        <v>4</v>
      </c>
      <c r="D13" s="21">
        <f t="shared" si="2"/>
        <v>220</v>
      </c>
      <c r="E13" s="20">
        <f t="shared" si="4"/>
        <v>5.8125</v>
      </c>
      <c r="F13" s="10">
        <f t="shared" si="5"/>
        <v>-1</v>
      </c>
      <c r="G13" s="10">
        <f t="shared" si="6"/>
        <v>-1</v>
      </c>
      <c r="H13" s="16">
        <f t="shared" si="7"/>
        <v>-1</v>
      </c>
      <c r="I13" s="37">
        <f t="shared" si="10"/>
        <v>25</v>
      </c>
      <c r="J13" s="37">
        <f t="shared" si="8"/>
        <v>1562.5</v>
      </c>
      <c r="K13" s="16">
        <f t="shared" si="3"/>
        <v>1000</v>
      </c>
      <c r="L13" s="24">
        <f t="shared" si="11"/>
        <v>25</v>
      </c>
      <c r="M13" s="40"/>
      <c r="N13" s="40"/>
      <c r="O13" s="15"/>
      <c r="P13" s="10"/>
      <c r="Q13" s="10"/>
      <c r="R13" s="10"/>
      <c r="S13" s="16"/>
    </row>
    <row r="14" spans="1:19" ht="12.75">
      <c r="A14" s="24">
        <f t="shared" si="9"/>
        <v>5</v>
      </c>
      <c r="B14" s="20">
        <f t="shared" si="0"/>
        <v>229.6875</v>
      </c>
      <c r="C14" s="21">
        <f t="shared" si="1"/>
        <v>5</v>
      </c>
      <c r="D14" s="21">
        <f t="shared" si="2"/>
        <v>224.6875</v>
      </c>
      <c r="E14" s="20">
        <f t="shared" si="4"/>
        <v>5.6875</v>
      </c>
      <c r="F14" s="10">
        <f t="shared" si="5"/>
        <v>-1</v>
      </c>
      <c r="G14" s="10">
        <f t="shared" si="6"/>
        <v>-1</v>
      </c>
      <c r="H14" s="16">
        <f t="shared" si="7"/>
        <v>-1</v>
      </c>
      <c r="I14" s="37">
        <f t="shared" si="10"/>
        <v>30</v>
      </c>
      <c r="J14" s="37">
        <f t="shared" si="8"/>
        <v>1250</v>
      </c>
      <c r="K14" s="16">
        <f t="shared" si="3"/>
        <v>1000</v>
      </c>
      <c r="L14" s="24">
        <f t="shared" si="11"/>
        <v>30</v>
      </c>
      <c r="M14" s="40"/>
      <c r="N14" s="40"/>
      <c r="O14" s="15"/>
      <c r="P14" s="10"/>
      <c r="Q14" s="10"/>
      <c r="R14" s="10"/>
      <c r="S14" s="16"/>
    </row>
    <row r="15" spans="1:19" ht="12.75">
      <c r="A15" s="24">
        <f t="shared" si="9"/>
        <v>6</v>
      </c>
      <c r="B15" s="20">
        <f t="shared" si="0"/>
        <v>235.25</v>
      </c>
      <c r="C15" s="21">
        <f t="shared" si="1"/>
        <v>6</v>
      </c>
      <c r="D15" s="21">
        <f t="shared" si="2"/>
        <v>229.25</v>
      </c>
      <c r="E15" s="20">
        <f t="shared" si="4"/>
        <v>5.5625</v>
      </c>
      <c r="F15" s="10">
        <f t="shared" si="5"/>
        <v>-1</v>
      </c>
      <c r="G15" s="10">
        <f t="shared" si="6"/>
        <v>-1</v>
      </c>
      <c r="H15" s="16">
        <f t="shared" si="7"/>
        <v>-1</v>
      </c>
      <c r="I15" s="37">
        <f t="shared" si="10"/>
        <v>35</v>
      </c>
      <c r="J15" s="37">
        <f t="shared" si="8"/>
        <v>937.5</v>
      </c>
      <c r="K15" s="16">
        <f t="shared" si="3"/>
        <v>1000</v>
      </c>
      <c r="L15" s="24">
        <f t="shared" si="11"/>
        <v>35</v>
      </c>
      <c r="M15" s="40"/>
      <c r="N15" s="40"/>
      <c r="O15" s="15"/>
      <c r="P15" s="10"/>
      <c r="Q15" s="10"/>
      <c r="R15" s="10"/>
      <c r="S15" s="16"/>
    </row>
    <row r="16" spans="1:19" ht="12.75">
      <c r="A16" s="24">
        <f t="shared" si="9"/>
        <v>7</v>
      </c>
      <c r="B16" s="20">
        <f t="shared" si="0"/>
        <v>240.6875</v>
      </c>
      <c r="C16" s="21">
        <f t="shared" si="1"/>
        <v>7</v>
      </c>
      <c r="D16" s="21">
        <f t="shared" si="2"/>
        <v>233.6875</v>
      </c>
      <c r="E16" s="20">
        <f t="shared" si="4"/>
        <v>5.4375</v>
      </c>
      <c r="F16" s="10">
        <f t="shared" si="5"/>
        <v>-1</v>
      </c>
      <c r="G16" s="10">
        <f t="shared" si="6"/>
        <v>-1</v>
      </c>
      <c r="H16" s="16">
        <f t="shared" si="7"/>
        <v>-1</v>
      </c>
      <c r="I16" s="37">
        <f t="shared" si="10"/>
        <v>40</v>
      </c>
      <c r="J16" s="37">
        <f t="shared" si="8"/>
        <v>625</v>
      </c>
      <c r="K16" s="16">
        <f t="shared" si="3"/>
        <v>1000</v>
      </c>
      <c r="L16" s="24">
        <f t="shared" si="11"/>
        <v>40</v>
      </c>
      <c r="M16" s="40"/>
      <c r="N16" s="40"/>
      <c r="O16" s="15"/>
      <c r="P16" s="10"/>
      <c r="Q16" s="10"/>
      <c r="R16" s="10"/>
      <c r="S16" s="16"/>
    </row>
    <row r="17" spans="1:19" ht="12.75">
      <c r="A17" s="24">
        <f t="shared" si="9"/>
        <v>8</v>
      </c>
      <c r="B17" s="20">
        <f t="shared" si="0"/>
        <v>246</v>
      </c>
      <c r="C17" s="21">
        <f t="shared" si="1"/>
        <v>8</v>
      </c>
      <c r="D17" s="21">
        <f t="shared" si="2"/>
        <v>238</v>
      </c>
      <c r="E17" s="20">
        <f t="shared" si="4"/>
        <v>5.3125</v>
      </c>
      <c r="F17" s="10">
        <f t="shared" si="5"/>
        <v>-1</v>
      </c>
      <c r="G17" s="10">
        <f t="shared" si="6"/>
        <v>-1</v>
      </c>
      <c r="H17" s="16">
        <f t="shared" si="7"/>
        <v>-1</v>
      </c>
      <c r="I17" s="37">
        <f t="shared" si="10"/>
        <v>45</v>
      </c>
      <c r="J17" s="37">
        <f t="shared" si="8"/>
        <v>312.5</v>
      </c>
      <c r="K17" s="16">
        <f t="shared" si="3"/>
        <v>1000</v>
      </c>
      <c r="L17" s="24">
        <f t="shared" si="11"/>
        <v>45</v>
      </c>
      <c r="M17" s="40"/>
      <c r="N17" s="40"/>
      <c r="O17" s="15"/>
      <c r="P17" s="10"/>
      <c r="Q17" s="10"/>
      <c r="R17" s="10"/>
      <c r="S17" s="16"/>
    </row>
    <row r="18" spans="1:19" ht="12.75">
      <c r="A18" s="24">
        <f t="shared" si="9"/>
        <v>9</v>
      </c>
      <c r="B18" s="20">
        <f t="shared" si="0"/>
        <v>251.1875</v>
      </c>
      <c r="C18" s="21">
        <f t="shared" si="1"/>
        <v>9</v>
      </c>
      <c r="D18" s="21">
        <f t="shared" si="2"/>
        <v>242.1875</v>
      </c>
      <c r="E18" s="20">
        <f t="shared" si="4"/>
        <v>5.1875</v>
      </c>
      <c r="F18" s="10">
        <f t="shared" si="5"/>
        <v>-1</v>
      </c>
      <c r="G18" s="10">
        <f t="shared" si="6"/>
        <v>-1</v>
      </c>
      <c r="H18" s="16">
        <f t="shared" si="7"/>
        <v>-1</v>
      </c>
      <c r="I18" s="37">
        <f t="shared" si="10"/>
        <v>50</v>
      </c>
      <c r="J18" s="37">
        <f t="shared" si="8"/>
        <v>0</v>
      </c>
      <c r="K18" s="16">
        <f t="shared" si="3"/>
        <v>1000</v>
      </c>
      <c r="L18" s="24">
        <f t="shared" si="11"/>
        <v>50</v>
      </c>
      <c r="M18" s="40"/>
      <c r="N18" s="40"/>
      <c r="O18" s="15"/>
      <c r="P18" s="10"/>
      <c r="Q18" s="10"/>
      <c r="R18" s="10"/>
      <c r="S18" s="16"/>
    </row>
    <row r="19" spans="1:19" ht="12.75">
      <c r="A19" s="24">
        <f t="shared" si="9"/>
        <v>10</v>
      </c>
      <c r="B19" s="20">
        <f t="shared" si="0"/>
        <v>256.25</v>
      </c>
      <c r="C19" s="21">
        <f t="shared" si="1"/>
        <v>10</v>
      </c>
      <c r="D19" s="21">
        <f t="shared" si="2"/>
        <v>246.25</v>
      </c>
      <c r="E19" s="20">
        <f t="shared" si="4"/>
        <v>5.0625</v>
      </c>
      <c r="F19" s="10">
        <f t="shared" si="5"/>
        <v>-1</v>
      </c>
      <c r="G19" s="10">
        <f t="shared" si="6"/>
        <v>-1</v>
      </c>
      <c r="H19" s="16">
        <f t="shared" si="7"/>
        <v>-1</v>
      </c>
      <c r="I19" s="37">
        <f t="shared" si="10"/>
        <v>55</v>
      </c>
      <c r="J19" s="37">
        <f t="shared" si="8"/>
        <v>-312.5</v>
      </c>
      <c r="K19" s="16">
        <f t="shared" si="3"/>
        <v>1000</v>
      </c>
      <c r="L19" s="24">
        <f t="shared" si="11"/>
        <v>55</v>
      </c>
      <c r="M19" s="40"/>
      <c r="N19" s="40"/>
      <c r="O19" s="15"/>
      <c r="P19" s="10"/>
      <c r="Q19" s="10"/>
      <c r="R19" s="10"/>
      <c r="S19" s="16"/>
    </row>
    <row r="20" spans="1:19" ht="12.75">
      <c r="A20" s="24">
        <f t="shared" si="9"/>
        <v>11</v>
      </c>
      <c r="B20" s="20">
        <f t="shared" si="0"/>
        <v>261.1875</v>
      </c>
      <c r="C20" s="21">
        <f t="shared" si="1"/>
        <v>11</v>
      </c>
      <c r="D20" s="21">
        <f t="shared" si="2"/>
        <v>250.1875</v>
      </c>
      <c r="E20" s="20">
        <f t="shared" si="4"/>
        <v>4.9375</v>
      </c>
      <c r="F20" s="10">
        <f t="shared" si="5"/>
        <v>-1</v>
      </c>
      <c r="G20" s="10">
        <f t="shared" si="6"/>
        <v>-1</v>
      </c>
      <c r="H20" s="16">
        <f t="shared" si="7"/>
        <v>-1</v>
      </c>
      <c r="I20" s="37">
        <f t="shared" si="10"/>
        <v>60</v>
      </c>
      <c r="J20" s="37">
        <f t="shared" si="8"/>
        <v>-625</v>
      </c>
      <c r="K20" s="16">
        <f t="shared" si="3"/>
        <v>1000</v>
      </c>
      <c r="L20" s="24">
        <f t="shared" si="11"/>
        <v>60</v>
      </c>
      <c r="M20" s="40"/>
      <c r="N20" s="40"/>
      <c r="O20" s="15"/>
      <c r="P20" s="10"/>
      <c r="Q20" s="10"/>
      <c r="R20" s="10"/>
      <c r="S20" s="16"/>
    </row>
    <row r="21" spans="1:19" ht="12.75">
      <c r="A21" s="24">
        <f t="shared" si="9"/>
        <v>12</v>
      </c>
      <c r="B21" s="20">
        <f t="shared" si="0"/>
        <v>266</v>
      </c>
      <c r="C21" s="21">
        <f t="shared" si="1"/>
        <v>12</v>
      </c>
      <c r="D21" s="21">
        <f t="shared" si="2"/>
        <v>254</v>
      </c>
      <c r="E21" s="20">
        <f t="shared" si="4"/>
        <v>4.8125</v>
      </c>
      <c r="F21" s="10">
        <f t="shared" si="5"/>
        <v>-1</v>
      </c>
      <c r="G21" s="10">
        <f t="shared" si="6"/>
        <v>-1</v>
      </c>
      <c r="H21" s="16">
        <f t="shared" si="7"/>
        <v>-1</v>
      </c>
      <c r="I21" s="20"/>
      <c r="J21" s="20"/>
      <c r="K21" s="16"/>
      <c r="L21" s="24">
        <f t="shared" si="11"/>
        <v>65</v>
      </c>
      <c r="M21" s="40"/>
      <c r="N21" s="40"/>
      <c r="O21" s="15"/>
      <c r="P21" s="10"/>
      <c r="Q21" s="10"/>
      <c r="R21" s="10"/>
      <c r="S21" s="16"/>
    </row>
    <row r="22" spans="1:19" ht="12.75">
      <c r="A22" s="24">
        <f t="shared" si="9"/>
        <v>13</v>
      </c>
      <c r="B22" s="20">
        <f t="shared" si="0"/>
        <v>270.6875</v>
      </c>
      <c r="C22" s="21">
        <f t="shared" si="1"/>
        <v>13</v>
      </c>
      <c r="D22" s="21">
        <f t="shared" si="2"/>
        <v>257.6875</v>
      </c>
      <c r="E22" s="20">
        <f t="shared" si="4"/>
        <v>4.6875</v>
      </c>
      <c r="F22" s="10">
        <f t="shared" si="5"/>
        <v>-1</v>
      </c>
      <c r="G22" s="10">
        <f t="shared" si="6"/>
        <v>-1</v>
      </c>
      <c r="H22" s="16">
        <f t="shared" si="7"/>
        <v>-1</v>
      </c>
      <c r="I22" s="20"/>
      <c r="J22" s="20"/>
      <c r="K22" s="16"/>
      <c r="L22" s="24">
        <f t="shared" si="11"/>
        <v>70</v>
      </c>
      <c r="M22" s="40"/>
      <c r="N22" s="40"/>
      <c r="O22" s="15"/>
      <c r="P22" s="10"/>
      <c r="Q22" s="10"/>
      <c r="R22" s="10"/>
      <c r="S22" s="16"/>
    </row>
    <row r="23" spans="1:19" ht="12.75">
      <c r="A23" s="24">
        <f t="shared" si="9"/>
        <v>14</v>
      </c>
      <c r="B23" s="20">
        <f t="shared" si="0"/>
        <v>275.25</v>
      </c>
      <c r="C23" s="21">
        <f t="shared" si="1"/>
        <v>14</v>
      </c>
      <c r="D23" s="21">
        <f t="shared" si="2"/>
        <v>261.25</v>
      </c>
      <c r="E23" s="20">
        <f t="shared" si="4"/>
        <v>4.5625</v>
      </c>
      <c r="F23" s="10">
        <f t="shared" si="5"/>
        <v>-1</v>
      </c>
      <c r="G23" s="10">
        <f t="shared" si="6"/>
        <v>-1</v>
      </c>
      <c r="H23" s="16">
        <f t="shared" si="7"/>
        <v>-1</v>
      </c>
      <c r="L23" s="24">
        <f t="shared" si="11"/>
        <v>75</v>
      </c>
      <c r="M23" s="40">
        <f aca="true" t="shared" si="12" ref="M23:M33">EXP((LN(L23)-CDC_a2)/CDC_b2)</f>
        <v>652.2325429915337</v>
      </c>
      <c r="N23" s="40">
        <f aca="true" t="shared" si="13" ref="N23:N33">EXP((LN(L23)-CSC_a2-LN(Yield2))/CSC_b2)</f>
        <v>54.23064350458159</v>
      </c>
      <c r="O23" s="65">
        <f>'Data (before)'!O23-'Data (after)'!N23</f>
        <v>0</v>
      </c>
      <c r="P23" s="40">
        <f>M23-N23</f>
        <v>598.0018994869521</v>
      </c>
      <c r="Q23" s="40">
        <f>MIN(O23:P23)</f>
        <v>0</v>
      </c>
      <c r="R23" s="40">
        <f>MAX(Q23,0)</f>
        <v>0</v>
      </c>
      <c r="S23" s="66">
        <f>R23*(L24-L23)</f>
        <v>0</v>
      </c>
    </row>
    <row r="24" spans="1:19" ht="12.75">
      <c r="A24" s="24">
        <f t="shared" si="9"/>
        <v>15</v>
      </c>
      <c r="B24" s="20">
        <f t="shared" si="0"/>
        <v>279.6875</v>
      </c>
      <c r="C24" s="21">
        <f t="shared" si="1"/>
        <v>15</v>
      </c>
      <c r="D24" s="21">
        <f t="shared" si="2"/>
        <v>264.6875</v>
      </c>
      <c r="E24" s="20">
        <f t="shared" si="4"/>
        <v>4.4375</v>
      </c>
      <c r="F24" s="10">
        <f t="shared" si="5"/>
        <v>-1</v>
      </c>
      <c r="G24" s="10">
        <f t="shared" si="6"/>
        <v>-1</v>
      </c>
      <c r="H24" s="16">
        <f t="shared" si="7"/>
        <v>-1</v>
      </c>
      <c r="L24" s="24">
        <f t="shared" si="11"/>
        <v>80</v>
      </c>
      <c r="M24" s="40">
        <f t="shared" si="12"/>
        <v>525.9850317460674</v>
      </c>
      <c r="N24" s="40">
        <f t="shared" si="13"/>
        <v>76.40784963313646</v>
      </c>
      <c r="O24" s="65">
        <f>'Data (before)'!O24-'Data (after)'!N24</f>
        <v>0</v>
      </c>
      <c r="P24" s="40">
        <f aca="true" t="shared" si="14" ref="P24:P33">M24-N24</f>
        <v>449.5771821129309</v>
      </c>
      <c r="Q24" s="40">
        <f aca="true" t="shared" si="15" ref="Q24:Q33">MIN(O24:P24)</f>
        <v>0</v>
      </c>
      <c r="R24" s="40">
        <f aca="true" t="shared" si="16" ref="R24:R33">MAX(Q24,0)</f>
        <v>0</v>
      </c>
      <c r="S24" s="66">
        <f aca="true" t="shared" si="17" ref="S24:S33">R24*(L25-L24)</f>
        <v>0</v>
      </c>
    </row>
    <row r="25" spans="1:19" ht="12.75">
      <c r="A25" s="24">
        <f t="shared" si="9"/>
        <v>16</v>
      </c>
      <c r="B25" s="20">
        <f t="shared" si="0"/>
        <v>284</v>
      </c>
      <c r="C25" s="21">
        <f t="shared" si="1"/>
        <v>16</v>
      </c>
      <c r="D25" s="21">
        <f t="shared" si="2"/>
        <v>268</v>
      </c>
      <c r="E25" s="20">
        <f t="shared" si="4"/>
        <v>4.3125</v>
      </c>
      <c r="F25" s="10">
        <f t="shared" si="5"/>
        <v>-1</v>
      </c>
      <c r="G25" s="10">
        <f t="shared" si="6"/>
        <v>-1</v>
      </c>
      <c r="H25" s="16">
        <f t="shared" si="7"/>
        <v>-1</v>
      </c>
      <c r="L25" s="24">
        <f t="shared" si="11"/>
        <v>85</v>
      </c>
      <c r="M25" s="40">
        <f t="shared" si="12"/>
        <v>429.74442987095557</v>
      </c>
      <c r="N25" s="40">
        <f t="shared" si="13"/>
        <v>105.43909224269704</v>
      </c>
      <c r="O25" s="65">
        <f>'Data (before)'!O25-'Data (after)'!N25</f>
        <v>0</v>
      </c>
      <c r="P25" s="40">
        <f t="shared" si="14"/>
        <v>324.30533762825854</v>
      </c>
      <c r="Q25" s="40">
        <f t="shared" si="15"/>
        <v>0</v>
      </c>
      <c r="R25" s="40">
        <f t="shared" si="16"/>
        <v>0</v>
      </c>
      <c r="S25" s="66">
        <f t="shared" si="17"/>
        <v>0</v>
      </c>
    </row>
    <row r="26" spans="1:19" ht="12.75">
      <c r="A26" s="24">
        <f t="shared" si="9"/>
        <v>17</v>
      </c>
      <c r="B26" s="20">
        <f t="shared" si="0"/>
        <v>288.1875</v>
      </c>
      <c r="C26" s="21">
        <f t="shared" si="1"/>
        <v>17</v>
      </c>
      <c r="D26" s="21">
        <f t="shared" si="2"/>
        <v>271.1875</v>
      </c>
      <c r="E26" s="20">
        <f t="shared" si="4"/>
        <v>4.1875</v>
      </c>
      <c r="F26" s="10">
        <f t="shared" si="5"/>
        <v>-1</v>
      </c>
      <c r="G26" s="10">
        <f t="shared" si="6"/>
        <v>-1</v>
      </c>
      <c r="H26" s="16">
        <f t="shared" si="7"/>
        <v>-1</v>
      </c>
      <c r="L26" s="24">
        <f t="shared" si="11"/>
        <v>90</v>
      </c>
      <c r="M26" s="40">
        <f t="shared" si="12"/>
        <v>355.19347347437895</v>
      </c>
      <c r="N26" s="40">
        <f t="shared" si="13"/>
        <v>142.84618437823016</v>
      </c>
      <c r="O26" s="65">
        <f>'Data (before)'!O26-'Data (after)'!N26</f>
        <v>0</v>
      </c>
      <c r="P26" s="40">
        <f t="shared" si="14"/>
        <v>212.34728909614878</v>
      </c>
      <c r="Q26" s="40">
        <f t="shared" si="15"/>
        <v>0</v>
      </c>
      <c r="R26" s="40">
        <f t="shared" si="16"/>
        <v>0</v>
      </c>
      <c r="S26" s="66">
        <f t="shared" si="17"/>
        <v>0</v>
      </c>
    </row>
    <row r="27" spans="1:19" ht="12.75">
      <c r="A27" s="24">
        <f t="shared" si="9"/>
        <v>18</v>
      </c>
      <c r="B27" s="20">
        <f t="shared" si="0"/>
        <v>292.25</v>
      </c>
      <c r="C27" s="21">
        <f t="shared" si="1"/>
        <v>18</v>
      </c>
      <c r="D27" s="21">
        <f t="shared" si="2"/>
        <v>274.25</v>
      </c>
      <c r="E27" s="20">
        <f t="shared" si="4"/>
        <v>4.0625</v>
      </c>
      <c r="F27" s="10">
        <f t="shared" si="5"/>
        <v>-1</v>
      </c>
      <c r="G27" s="10">
        <f t="shared" si="6"/>
        <v>-1</v>
      </c>
      <c r="H27" s="16">
        <f t="shared" si="7"/>
        <v>-1</v>
      </c>
      <c r="L27" s="24">
        <f t="shared" si="11"/>
        <v>95</v>
      </c>
      <c r="M27" s="40">
        <f t="shared" si="12"/>
        <v>296.6160572069118</v>
      </c>
      <c r="N27" s="40">
        <f t="shared" si="13"/>
        <v>190.37245583142075</v>
      </c>
      <c r="O27" s="65">
        <f>'Data (before)'!O27-'Data (after)'!N27</f>
        <v>0</v>
      </c>
      <c r="P27" s="40">
        <f t="shared" si="14"/>
        <v>106.24360137549107</v>
      </c>
      <c r="Q27" s="40">
        <f t="shared" si="15"/>
        <v>0</v>
      </c>
      <c r="R27" s="40">
        <f t="shared" si="16"/>
        <v>0</v>
      </c>
      <c r="S27" s="66">
        <f t="shared" si="17"/>
        <v>0</v>
      </c>
    </row>
    <row r="28" spans="1:19" ht="12.75">
      <c r="A28" s="24">
        <f t="shared" si="9"/>
        <v>19</v>
      </c>
      <c r="B28" s="20">
        <f t="shared" si="0"/>
        <v>296.1875</v>
      </c>
      <c r="C28" s="21">
        <f t="shared" si="1"/>
        <v>19</v>
      </c>
      <c r="D28" s="21">
        <f t="shared" si="2"/>
        <v>277.1875</v>
      </c>
      <c r="E28" s="20">
        <f t="shared" si="4"/>
        <v>3.9375</v>
      </c>
      <c r="F28" s="10">
        <f t="shared" si="5"/>
        <v>-1</v>
      </c>
      <c r="G28" s="10">
        <f t="shared" si="6"/>
        <v>-1</v>
      </c>
      <c r="H28" s="16">
        <f t="shared" si="7"/>
        <v>-1</v>
      </c>
      <c r="L28" s="24">
        <f t="shared" si="11"/>
        <v>100</v>
      </c>
      <c r="M28" s="40">
        <f t="shared" si="12"/>
        <v>250.00000000000034</v>
      </c>
      <c r="N28" s="40">
        <f t="shared" si="13"/>
        <v>250.0000000000001</v>
      </c>
      <c r="O28" s="65">
        <f>'Data (before)'!O28-'Data (after)'!N28</f>
        <v>0</v>
      </c>
      <c r="P28" s="40">
        <f t="shared" si="14"/>
        <v>2.2737367544323206E-13</v>
      </c>
      <c r="Q28" s="40">
        <f t="shared" si="15"/>
        <v>0</v>
      </c>
      <c r="R28" s="40">
        <f t="shared" si="16"/>
        <v>0</v>
      </c>
      <c r="S28" s="66">
        <f t="shared" si="17"/>
        <v>0</v>
      </c>
    </row>
    <row r="29" spans="1:19" ht="12.75">
      <c r="A29" s="24">
        <f t="shared" si="9"/>
        <v>20</v>
      </c>
      <c r="B29" s="20">
        <f t="shared" si="0"/>
        <v>300</v>
      </c>
      <c r="C29" s="21">
        <f t="shared" si="1"/>
        <v>20</v>
      </c>
      <c r="D29" s="21">
        <f t="shared" si="2"/>
        <v>280</v>
      </c>
      <c r="E29" s="20">
        <f t="shared" si="4"/>
        <v>3.8125</v>
      </c>
      <c r="F29" s="10">
        <f t="shared" si="5"/>
        <v>-1</v>
      </c>
      <c r="G29" s="10">
        <f t="shared" si="6"/>
        <v>-1</v>
      </c>
      <c r="H29" s="16">
        <f t="shared" si="7"/>
        <v>-1</v>
      </c>
      <c r="L29" s="24">
        <f t="shared" si="11"/>
        <v>105</v>
      </c>
      <c r="M29" s="40">
        <f t="shared" si="12"/>
        <v>212.47557430217054</v>
      </c>
      <c r="N29" s="40">
        <f t="shared" si="13"/>
        <v>323.9672228086301</v>
      </c>
      <c r="O29" s="65">
        <f>'Data (before)'!O29-'Data (after)'!N29</f>
        <v>0</v>
      </c>
      <c r="P29" s="40">
        <f t="shared" si="14"/>
        <v>-111.49164850645954</v>
      </c>
      <c r="Q29" s="40">
        <f t="shared" si="15"/>
        <v>-111.49164850645954</v>
      </c>
      <c r="R29" s="40">
        <f t="shared" si="16"/>
        <v>0</v>
      </c>
      <c r="S29" s="66">
        <f t="shared" si="17"/>
        <v>0</v>
      </c>
    </row>
    <row r="30" spans="1:19" ht="12.75">
      <c r="A30" s="24">
        <f t="shared" si="9"/>
        <v>21</v>
      </c>
      <c r="B30" s="20">
        <f t="shared" si="0"/>
        <v>303.6875</v>
      </c>
      <c r="C30" s="21">
        <f t="shared" si="1"/>
        <v>21</v>
      </c>
      <c r="D30" s="21">
        <f t="shared" si="2"/>
        <v>282.6875</v>
      </c>
      <c r="E30" s="20">
        <f t="shared" si="4"/>
        <v>3.6875</v>
      </c>
      <c r="F30" s="10">
        <f t="shared" si="5"/>
        <v>-1</v>
      </c>
      <c r="G30" s="10">
        <f t="shared" si="6"/>
        <v>-1</v>
      </c>
      <c r="H30" s="16">
        <f t="shared" si="7"/>
        <v>-1</v>
      </c>
      <c r="I30" s="20"/>
      <c r="J30" s="20"/>
      <c r="K30" s="16"/>
      <c r="L30" s="24">
        <f t="shared" si="11"/>
        <v>110</v>
      </c>
      <c r="M30" s="40">
        <f t="shared" si="12"/>
        <v>181.95516644467799</v>
      </c>
      <c r="N30" s="40">
        <f t="shared" si="13"/>
        <v>414.78668263731237</v>
      </c>
      <c r="O30" s="65">
        <f>'Data (before)'!O30-'Data (after)'!N30</f>
        <v>0</v>
      </c>
      <c r="P30" s="40">
        <f t="shared" si="14"/>
        <v>-232.83151619263438</v>
      </c>
      <c r="Q30" s="40">
        <f t="shared" si="15"/>
        <v>-232.83151619263438</v>
      </c>
      <c r="R30" s="40">
        <f t="shared" si="16"/>
        <v>0</v>
      </c>
      <c r="S30" s="66">
        <f t="shared" si="17"/>
        <v>0</v>
      </c>
    </row>
    <row r="31" spans="1:19" ht="12.75">
      <c r="A31" s="24">
        <f t="shared" si="9"/>
        <v>22</v>
      </c>
      <c r="B31" s="20">
        <f t="shared" si="0"/>
        <v>307.25</v>
      </c>
      <c r="C31" s="21">
        <f t="shared" si="1"/>
        <v>22</v>
      </c>
      <c r="D31" s="21">
        <f t="shared" si="2"/>
        <v>285.25</v>
      </c>
      <c r="E31" s="20">
        <f t="shared" si="4"/>
        <v>3.5625</v>
      </c>
      <c r="F31" s="10">
        <f t="shared" si="5"/>
        <v>-1</v>
      </c>
      <c r="G31" s="10">
        <f t="shared" si="6"/>
        <v>-1</v>
      </c>
      <c r="H31" s="16">
        <f t="shared" si="7"/>
        <v>-1</v>
      </c>
      <c r="I31" s="20"/>
      <c r="J31" s="20"/>
      <c r="K31" s="16"/>
      <c r="L31" s="24">
        <f t="shared" si="11"/>
        <v>115</v>
      </c>
      <c r="M31" s="40">
        <f t="shared" si="12"/>
        <v>156.896723471544</v>
      </c>
      <c r="N31" s="40">
        <f t="shared" si="13"/>
        <v>525.2632111470471</v>
      </c>
      <c r="O31" s="65">
        <f>'Data (before)'!O31-'Data (after)'!N31</f>
        <v>0</v>
      </c>
      <c r="P31" s="40">
        <f t="shared" si="14"/>
        <v>-368.3664876755031</v>
      </c>
      <c r="Q31" s="40">
        <f t="shared" si="15"/>
        <v>-368.3664876755031</v>
      </c>
      <c r="R31" s="40">
        <f t="shared" si="16"/>
        <v>0</v>
      </c>
      <c r="S31" s="66">
        <f t="shared" si="17"/>
        <v>0</v>
      </c>
    </row>
    <row r="32" spans="1:19" ht="12.75">
      <c r="A32" s="24">
        <f t="shared" si="9"/>
        <v>23</v>
      </c>
      <c r="B32" s="20">
        <f t="shared" si="0"/>
        <v>310.6875</v>
      </c>
      <c r="C32" s="21">
        <f t="shared" si="1"/>
        <v>23</v>
      </c>
      <c r="D32" s="21">
        <f t="shared" si="2"/>
        <v>287.6875</v>
      </c>
      <c r="E32" s="20">
        <f t="shared" si="4"/>
        <v>3.4375</v>
      </c>
      <c r="F32" s="10">
        <f t="shared" si="5"/>
        <v>-1</v>
      </c>
      <c r="G32" s="10">
        <f t="shared" si="6"/>
        <v>-1</v>
      </c>
      <c r="H32" s="16">
        <f t="shared" si="7"/>
        <v>-1</v>
      </c>
      <c r="I32" s="20"/>
      <c r="J32" s="20"/>
      <c r="K32" s="16"/>
      <c r="L32" s="24">
        <f t="shared" si="11"/>
        <v>120</v>
      </c>
      <c r="M32" s="40">
        <f t="shared" si="12"/>
        <v>136.14525880801955</v>
      </c>
      <c r="N32" s="40">
        <f t="shared" si="13"/>
        <v>658.5123057140229</v>
      </c>
      <c r="O32" s="65">
        <f>'Data (before)'!O32-'Data (after)'!N32</f>
        <v>0</v>
      </c>
      <c r="P32" s="40">
        <f t="shared" si="14"/>
        <v>-522.3670469060033</v>
      </c>
      <c r="Q32" s="40">
        <f t="shared" si="15"/>
        <v>-522.3670469060033</v>
      </c>
      <c r="R32" s="40">
        <f t="shared" si="16"/>
        <v>0</v>
      </c>
      <c r="S32" s="66">
        <f t="shared" si="17"/>
        <v>0</v>
      </c>
    </row>
    <row r="33" spans="1:19" ht="12.75">
      <c r="A33" s="24">
        <f t="shared" si="9"/>
        <v>24</v>
      </c>
      <c r="B33" s="20">
        <f t="shared" si="0"/>
        <v>314</v>
      </c>
      <c r="C33" s="21">
        <f t="shared" si="1"/>
        <v>24</v>
      </c>
      <c r="D33" s="21">
        <f t="shared" si="2"/>
        <v>290</v>
      </c>
      <c r="E33" s="20">
        <f t="shared" si="4"/>
        <v>3.3125</v>
      </c>
      <c r="F33" s="10">
        <f t="shared" si="5"/>
        <v>-1</v>
      </c>
      <c r="G33" s="10">
        <f t="shared" si="6"/>
        <v>-1</v>
      </c>
      <c r="H33" s="16">
        <f t="shared" si="7"/>
        <v>-1</v>
      </c>
      <c r="I33" s="20"/>
      <c r="J33" s="20"/>
      <c r="K33" s="16"/>
      <c r="L33" s="24">
        <f t="shared" si="11"/>
        <v>125</v>
      </c>
      <c r="M33" s="40">
        <f t="shared" si="12"/>
        <v>118.82467414048732</v>
      </c>
      <c r="N33" s="40">
        <f t="shared" si="13"/>
        <v>817.9787849034706</v>
      </c>
      <c r="O33" s="65">
        <f>'Data (before)'!O33-'Data (after)'!N33</f>
        <v>0</v>
      </c>
      <c r="P33" s="40">
        <f t="shared" si="14"/>
        <v>-699.1541107629832</v>
      </c>
      <c r="Q33" s="40">
        <f t="shared" si="15"/>
        <v>-699.1541107629832</v>
      </c>
      <c r="R33" s="40">
        <f t="shared" si="16"/>
        <v>0</v>
      </c>
      <c r="S33" s="66">
        <f t="shared" si="17"/>
        <v>0</v>
      </c>
    </row>
    <row r="34" spans="1:19" ht="12.75">
      <c r="A34" s="24">
        <f t="shared" si="9"/>
        <v>25</v>
      </c>
      <c r="B34" s="20">
        <f t="shared" si="0"/>
        <v>317.1875</v>
      </c>
      <c r="C34" s="21">
        <f t="shared" si="1"/>
        <v>25</v>
      </c>
      <c r="D34" s="21">
        <f t="shared" si="2"/>
        <v>292.1875</v>
      </c>
      <c r="E34" s="20">
        <f t="shared" si="4"/>
        <v>3.1875</v>
      </c>
      <c r="F34" s="10">
        <f t="shared" si="5"/>
        <v>-1</v>
      </c>
      <c r="G34" s="10">
        <f t="shared" si="6"/>
        <v>-1</v>
      </c>
      <c r="H34" s="16">
        <f t="shared" si="7"/>
        <v>-1</v>
      </c>
      <c r="I34" s="20"/>
      <c r="J34" s="20"/>
      <c r="K34" s="16"/>
      <c r="L34" s="24"/>
      <c r="M34" s="10"/>
      <c r="N34" s="10"/>
      <c r="O34" s="15"/>
      <c r="P34" s="10"/>
      <c r="Q34" s="10"/>
      <c r="R34" s="10"/>
      <c r="S34" s="16"/>
    </row>
    <row r="35" spans="1:19" ht="12.75">
      <c r="A35" s="24">
        <f t="shared" si="9"/>
        <v>26</v>
      </c>
      <c r="B35" s="20">
        <f t="shared" si="0"/>
        <v>320.25</v>
      </c>
      <c r="C35" s="21">
        <f t="shared" si="1"/>
        <v>26</v>
      </c>
      <c r="D35" s="21">
        <f t="shared" si="2"/>
        <v>294.25</v>
      </c>
      <c r="E35" s="20">
        <f t="shared" si="4"/>
        <v>3.0625</v>
      </c>
      <c r="F35" s="10">
        <f t="shared" si="5"/>
        <v>-1</v>
      </c>
      <c r="G35" s="10">
        <f t="shared" si="6"/>
        <v>-1</v>
      </c>
      <c r="H35" s="16">
        <f t="shared" si="7"/>
        <v>-1</v>
      </c>
      <c r="I35" s="4" t="s">
        <v>46</v>
      </c>
      <c r="L35" s="52" t="s">
        <v>45</v>
      </c>
      <c r="M35" s="10"/>
      <c r="N35" s="10"/>
      <c r="O35" s="15"/>
      <c r="P35" s="10"/>
      <c r="Q35" s="10" t="s">
        <v>87</v>
      </c>
      <c r="R35" s="10"/>
      <c r="S35" s="66">
        <f>SUM(S23:S33)</f>
        <v>0</v>
      </c>
    </row>
    <row r="36" spans="1:19" ht="12.75">
      <c r="A36" s="24">
        <f t="shared" si="9"/>
        <v>27</v>
      </c>
      <c r="B36" s="20">
        <f t="shared" si="0"/>
        <v>323.1875</v>
      </c>
      <c r="C36" s="21">
        <f t="shared" si="1"/>
        <v>27</v>
      </c>
      <c r="D36" s="21">
        <f t="shared" si="2"/>
        <v>296.1875</v>
      </c>
      <c r="E36" s="20">
        <f t="shared" si="4"/>
        <v>2.9375</v>
      </c>
      <c r="F36" s="10">
        <f t="shared" si="5"/>
        <v>-1</v>
      </c>
      <c r="G36" s="10">
        <f t="shared" si="6"/>
        <v>-1</v>
      </c>
      <c r="H36" s="16">
        <f t="shared" si="7"/>
        <v>-1</v>
      </c>
      <c r="I36" s="42" t="s">
        <v>68</v>
      </c>
      <c r="L36" s="56" t="s">
        <v>69</v>
      </c>
      <c r="M36" s="10"/>
      <c r="N36" s="10"/>
      <c r="O36" s="15"/>
      <c r="P36" s="10"/>
      <c r="Q36" s="10"/>
      <c r="R36" s="10"/>
      <c r="S36" s="16"/>
    </row>
    <row r="37" spans="1:19" ht="12.75">
      <c r="A37" s="24">
        <f t="shared" si="9"/>
        <v>28</v>
      </c>
      <c r="B37" s="20">
        <f t="shared" si="0"/>
        <v>326</v>
      </c>
      <c r="C37" s="21">
        <f t="shared" si="1"/>
        <v>28</v>
      </c>
      <c r="D37" s="21">
        <f t="shared" si="2"/>
        <v>298</v>
      </c>
      <c r="E37" s="20">
        <f t="shared" si="4"/>
        <v>2.8125</v>
      </c>
      <c r="F37" s="10">
        <f t="shared" si="5"/>
        <v>-1</v>
      </c>
      <c r="G37" s="10">
        <f t="shared" si="6"/>
        <v>-1</v>
      </c>
      <c r="H37" s="16">
        <f t="shared" si="7"/>
        <v>-1</v>
      </c>
      <c r="I37" t="s">
        <v>2</v>
      </c>
      <c r="K37" s="39">
        <f>(-FRC_b2)/(2*FRC_c2)</f>
        <v>50</v>
      </c>
      <c r="L37" s="15" t="s">
        <v>2</v>
      </c>
      <c r="M37" s="10"/>
      <c r="N37" s="21">
        <f>LN(Crop_prod)-CDC_b*LN(P_crop)</f>
        <v>6.261608461346766</v>
      </c>
      <c r="O37" s="15"/>
      <c r="P37" s="10"/>
      <c r="Q37" s="10"/>
      <c r="R37" s="10"/>
      <c r="S37" s="16"/>
    </row>
    <row r="38" spans="1:19" ht="12.75">
      <c r="A38" s="24">
        <f t="shared" si="9"/>
        <v>29</v>
      </c>
      <c r="B38" s="20">
        <f t="shared" si="0"/>
        <v>328.6875</v>
      </c>
      <c r="C38" s="21">
        <f t="shared" si="1"/>
        <v>29</v>
      </c>
      <c r="D38" s="21">
        <f t="shared" si="2"/>
        <v>299.6875</v>
      </c>
      <c r="E38" s="20">
        <f t="shared" si="4"/>
        <v>2.6875</v>
      </c>
      <c r="F38" s="10">
        <f t="shared" si="5"/>
        <v>-1</v>
      </c>
      <c r="G38" s="10">
        <f t="shared" si="6"/>
        <v>-1</v>
      </c>
      <c r="H38" s="16">
        <f t="shared" si="7"/>
        <v>-1</v>
      </c>
      <c r="I38" t="s">
        <v>44</v>
      </c>
      <c r="K38" s="39">
        <f>VCratio2/(P_crop2*2*FRC_c2)</f>
        <v>-0.016</v>
      </c>
      <c r="L38" s="15" t="s">
        <v>55</v>
      </c>
      <c r="M38" s="10"/>
      <c r="N38" s="21">
        <f>Crop_elast_D</f>
        <v>-0.3</v>
      </c>
      <c r="O38" s="15"/>
      <c r="P38" s="10"/>
      <c r="Q38" s="10"/>
      <c r="R38" s="10"/>
      <c r="S38" s="16"/>
    </row>
    <row r="39" spans="1:19" ht="12.75">
      <c r="A39" s="24">
        <f t="shared" si="9"/>
        <v>30</v>
      </c>
      <c r="B39" s="20">
        <f t="shared" si="0"/>
        <v>331.25</v>
      </c>
      <c r="C39" s="21">
        <f t="shared" si="1"/>
        <v>30</v>
      </c>
      <c r="D39" s="21">
        <f t="shared" si="2"/>
        <v>301.25</v>
      </c>
      <c r="E39" s="20">
        <f t="shared" si="4"/>
        <v>2.5625</v>
      </c>
      <c r="F39" s="10">
        <f t="shared" si="5"/>
        <v>-1</v>
      </c>
      <c r="G39" s="10">
        <f t="shared" si="6"/>
        <v>-1</v>
      </c>
      <c r="H39" s="16">
        <f t="shared" si="7"/>
        <v>-1</v>
      </c>
      <c r="L39" s="15"/>
      <c r="N39" s="10"/>
      <c r="O39" s="15"/>
      <c r="P39" s="10"/>
      <c r="Q39" s="10"/>
      <c r="R39" s="10"/>
      <c r="S39" s="16"/>
    </row>
    <row r="40" spans="1:19" ht="12.75">
      <c r="A40" s="24">
        <f t="shared" si="9"/>
        <v>31</v>
      </c>
      <c r="B40" s="20">
        <f t="shared" si="0"/>
        <v>333.6875</v>
      </c>
      <c r="C40" s="21">
        <f t="shared" si="1"/>
        <v>31</v>
      </c>
      <c r="D40" s="21">
        <f t="shared" si="2"/>
        <v>302.6875</v>
      </c>
      <c r="E40" s="20">
        <f t="shared" si="4"/>
        <v>2.4375</v>
      </c>
      <c r="F40" s="10">
        <f t="shared" si="5"/>
        <v>-1</v>
      </c>
      <c r="G40" s="10">
        <f t="shared" si="6"/>
        <v>-1</v>
      </c>
      <c r="H40" s="16">
        <f t="shared" si="7"/>
        <v>-1</v>
      </c>
      <c r="I40" s="4" t="s">
        <v>66</v>
      </c>
      <c r="L40" s="53" t="s">
        <v>47</v>
      </c>
      <c r="M40" s="10"/>
      <c r="N40" s="10"/>
      <c r="O40" s="15"/>
      <c r="P40" s="10"/>
      <c r="Q40" s="10"/>
      <c r="R40" s="10"/>
      <c r="S40" s="16"/>
    </row>
    <row r="41" spans="1:19" ht="12.75">
      <c r="A41" s="24">
        <f t="shared" si="9"/>
        <v>32</v>
      </c>
      <c r="B41" s="20">
        <f aca="true" t="shared" si="18" ref="B41:B69">(P_crop2/1000)*(FRC_a2+FRC_b2*A41+FRC_c2*A41^2)</f>
        <v>336</v>
      </c>
      <c r="C41" s="21">
        <f aca="true" t="shared" si="19" ref="C41:C69">A41*P_fert_sub2/1000</f>
        <v>32</v>
      </c>
      <c r="D41" s="21">
        <f aca="true" t="shared" si="20" ref="D41:D69">B41-C41</f>
        <v>304</v>
      </c>
      <c r="E41" s="20">
        <f t="shared" si="4"/>
        <v>2.3125</v>
      </c>
      <c r="F41" s="10">
        <f t="shared" si="5"/>
        <v>-1</v>
      </c>
      <c r="G41" s="10">
        <f t="shared" si="6"/>
        <v>-1</v>
      </c>
      <c r="H41" s="16">
        <f t="shared" si="7"/>
        <v>-1</v>
      </c>
      <c r="I41" s="54" t="s">
        <v>67</v>
      </c>
      <c r="J41" s="55">
        <f>P_fert_sub2</f>
        <v>1000</v>
      </c>
      <c r="L41" s="41" t="s">
        <v>70</v>
      </c>
      <c r="M41" s="10"/>
      <c r="N41" s="10"/>
      <c r="O41" s="15"/>
      <c r="P41" s="10"/>
      <c r="Q41" s="10"/>
      <c r="R41" s="10"/>
      <c r="S41" s="16"/>
    </row>
    <row r="42" spans="1:19" ht="12.75">
      <c r="A42" s="24">
        <f t="shared" si="9"/>
        <v>33</v>
      </c>
      <c r="B42" s="20">
        <f t="shared" si="18"/>
        <v>338.1875</v>
      </c>
      <c r="C42" s="21">
        <f t="shared" si="19"/>
        <v>33</v>
      </c>
      <c r="D42" s="21">
        <f t="shared" si="20"/>
        <v>305.1875</v>
      </c>
      <c r="E42" s="20">
        <f aca="true" t="shared" si="21" ref="E42:E69">(B42-B41)/(C42-C41)</f>
        <v>2.1875</v>
      </c>
      <c r="F42" s="10">
        <f aca="true" t="shared" si="22" ref="F42:F69">IF(E42&gt;=0,IF(E43&lt;0,B42,-1),-1)</f>
        <v>-1</v>
      </c>
      <c r="G42" s="10">
        <f aca="true" t="shared" si="23" ref="G42:G69">IF(E42&gt;=1,IF(E43&lt;1,B42,-1),-1)</f>
        <v>-1</v>
      </c>
      <c r="H42" s="16">
        <f aca="true" t="shared" si="24" ref="H42:H69">IF(E42&gt;=VCratio2,IF(E43&lt;VCratio2,B42,-1),-1)</f>
        <v>-1</v>
      </c>
      <c r="L42" s="15" t="s">
        <v>2</v>
      </c>
      <c r="M42" s="10"/>
      <c r="N42" s="67">
        <f>CSC_a</f>
        <v>-3.650204074740465</v>
      </c>
      <c r="O42" s="15"/>
      <c r="P42" s="10"/>
      <c r="Q42" s="10"/>
      <c r="R42" s="10"/>
      <c r="S42" s="16"/>
    </row>
    <row r="43" spans="1:19" ht="12.75">
      <c r="A43" s="24">
        <f aca="true" t="shared" si="25" ref="A43:A69">A42+1</f>
        <v>34</v>
      </c>
      <c r="B43" s="20">
        <f t="shared" si="18"/>
        <v>340.25</v>
      </c>
      <c r="C43" s="21">
        <f t="shared" si="19"/>
        <v>34</v>
      </c>
      <c r="D43" s="21">
        <f t="shared" si="20"/>
        <v>306.25</v>
      </c>
      <c r="E43" s="20">
        <f t="shared" si="21"/>
        <v>2.0625</v>
      </c>
      <c r="F43" s="10">
        <f t="shared" si="22"/>
        <v>-1</v>
      </c>
      <c r="G43" s="10">
        <f t="shared" si="23"/>
        <v>-1</v>
      </c>
      <c r="H43" s="16">
        <f t="shared" si="24"/>
        <v>340.25</v>
      </c>
      <c r="L43" s="15" t="s">
        <v>60</v>
      </c>
      <c r="M43" s="10"/>
      <c r="N43" s="21">
        <f>CSC_b</f>
        <v>0.18824714573539292</v>
      </c>
      <c r="O43" s="15"/>
      <c r="P43" s="10"/>
      <c r="Q43" s="10"/>
      <c r="R43" s="10"/>
      <c r="S43" s="16"/>
    </row>
    <row r="44" spans="1:19" ht="12.75">
      <c r="A44" s="24">
        <f t="shared" si="25"/>
        <v>35</v>
      </c>
      <c r="B44" s="20">
        <f t="shared" si="18"/>
        <v>342.1875</v>
      </c>
      <c r="C44" s="21">
        <f t="shared" si="19"/>
        <v>35</v>
      </c>
      <c r="D44" s="21">
        <f t="shared" si="20"/>
        <v>307.1875</v>
      </c>
      <c r="E44" s="20">
        <f t="shared" si="21"/>
        <v>1.9375</v>
      </c>
      <c r="F44" s="10">
        <f t="shared" si="22"/>
        <v>-1</v>
      </c>
      <c r="G44" s="10">
        <f t="shared" si="23"/>
        <v>-1</v>
      </c>
      <c r="H44" s="16">
        <f t="shared" si="24"/>
        <v>-1</v>
      </c>
      <c r="I44" t="s">
        <v>61</v>
      </c>
      <c r="K44">
        <f>FDC_a2+FDC_b2*P_fert_sub2</f>
        <v>34</v>
      </c>
      <c r="L44" s="15" t="s">
        <v>58</v>
      </c>
      <c r="M44" s="10"/>
      <c r="N44" s="21">
        <f>K50</f>
        <v>0.19985304922850844</v>
      </c>
      <c r="O44" s="15"/>
      <c r="P44" s="10"/>
      <c r="Q44" s="10"/>
      <c r="R44" s="10"/>
      <c r="S44" s="16"/>
    </row>
    <row r="45" spans="1:19" ht="12.75">
      <c r="A45" s="24">
        <f t="shared" si="25"/>
        <v>36</v>
      </c>
      <c r="B45" s="20">
        <f t="shared" si="18"/>
        <v>344</v>
      </c>
      <c r="C45" s="21">
        <f t="shared" si="19"/>
        <v>36</v>
      </c>
      <c r="D45" s="21">
        <f t="shared" si="20"/>
        <v>308</v>
      </c>
      <c r="E45" s="20">
        <f t="shared" si="21"/>
        <v>1.8125</v>
      </c>
      <c r="F45" s="10">
        <f t="shared" si="22"/>
        <v>-1</v>
      </c>
      <c r="G45" s="10">
        <f t="shared" si="23"/>
        <v>-1</v>
      </c>
      <c r="H45" s="16">
        <f t="shared" si="24"/>
        <v>-1</v>
      </c>
      <c r="I45" t="s">
        <v>65</v>
      </c>
      <c r="K45">
        <f>(P_crop2/1000)*(FRC_a2+FRC_b2*Fert_use2+FRC_c2*Fert_use2^2)</f>
        <v>340.25</v>
      </c>
      <c r="L45" s="24" t="s">
        <v>59</v>
      </c>
      <c r="M45" s="10"/>
      <c r="N45" s="21">
        <f>(1+CSC_b2)*(1+N44)-1</f>
        <v>0.425721961047683</v>
      </c>
      <c r="O45" s="15"/>
      <c r="P45" s="10"/>
      <c r="Q45" s="10"/>
      <c r="R45" s="10"/>
      <c r="S45" s="16"/>
    </row>
    <row r="46" spans="1:19" ht="12.75">
      <c r="A46" s="24">
        <f t="shared" si="25"/>
        <v>37</v>
      </c>
      <c r="B46" s="20">
        <f t="shared" si="18"/>
        <v>345.6875</v>
      </c>
      <c r="C46" s="21">
        <f t="shared" si="19"/>
        <v>37</v>
      </c>
      <c r="D46" s="21">
        <f t="shared" si="20"/>
        <v>308.6875</v>
      </c>
      <c r="E46" s="20">
        <f t="shared" si="21"/>
        <v>1.6875</v>
      </c>
      <c r="F46" s="10">
        <f t="shared" si="22"/>
        <v>-1</v>
      </c>
      <c r="G46" s="10">
        <f t="shared" si="23"/>
        <v>-1</v>
      </c>
      <c r="H46" s="16">
        <f t="shared" si="24"/>
        <v>-1</v>
      </c>
      <c r="I46" t="s">
        <v>64</v>
      </c>
      <c r="K46">
        <f>K45/(P_crop2/1000)</f>
        <v>1361</v>
      </c>
      <c r="L46" s="15" t="s">
        <v>54</v>
      </c>
      <c r="O46" s="15"/>
      <c r="P46" s="10"/>
      <c r="Q46" s="10"/>
      <c r="R46" s="10"/>
      <c r="S46" s="16"/>
    </row>
    <row r="47" spans="1:19" ht="12.75">
      <c r="A47" s="24">
        <f t="shared" si="25"/>
        <v>38</v>
      </c>
      <c r="B47" s="20">
        <f t="shared" si="18"/>
        <v>347.25</v>
      </c>
      <c r="C47" s="21">
        <f t="shared" si="19"/>
        <v>38</v>
      </c>
      <c r="D47" s="21">
        <f t="shared" si="20"/>
        <v>309.25</v>
      </c>
      <c r="E47" s="20">
        <f t="shared" si="21"/>
        <v>1.5625</v>
      </c>
      <c r="F47" s="10">
        <f t="shared" si="22"/>
        <v>-1</v>
      </c>
      <c r="G47" s="10">
        <f t="shared" si="23"/>
        <v>-1</v>
      </c>
      <c r="H47" s="16">
        <f t="shared" si="24"/>
        <v>-1</v>
      </c>
      <c r="L47" s="15"/>
      <c r="O47" s="15"/>
      <c r="P47" s="10"/>
      <c r="Q47" s="10"/>
      <c r="R47" s="10"/>
      <c r="S47" s="16"/>
    </row>
    <row r="48" spans="1:19" ht="12.75">
      <c r="A48" s="24">
        <f t="shared" si="25"/>
        <v>39</v>
      </c>
      <c r="B48" s="20">
        <f t="shared" si="18"/>
        <v>348.6875</v>
      </c>
      <c r="C48" s="21">
        <f t="shared" si="19"/>
        <v>39</v>
      </c>
      <c r="D48" s="21">
        <f t="shared" si="20"/>
        <v>309.6875</v>
      </c>
      <c r="E48" s="20">
        <f t="shared" si="21"/>
        <v>1.4375</v>
      </c>
      <c r="F48" s="10">
        <f t="shared" si="22"/>
        <v>-1</v>
      </c>
      <c r="G48" s="10">
        <f t="shared" si="23"/>
        <v>-1</v>
      </c>
      <c r="H48" s="16">
        <f t="shared" si="24"/>
        <v>-1</v>
      </c>
      <c r="I48" s="42" t="s">
        <v>48</v>
      </c>
      <c r="K48" s="39">
        <f>FDC_b2*P_fert_sub2/D_fert2</f>
        <v>-0.47058823529411764</v>
      </c>
      <c r="L48" s="32" t="s">
        <v>63</v>
      </c>
      <c r="M48" s="10"/>
      <c r="N48" s="46">
        <f>EXP((CDC_a2-CSC_a2-LN(Yield2))/(CSC_b2-CDC_b2))</f>
        <v>250.0000000000001</v>
      </c>
      <c r="O48" s="15"/>
      <c r="P48" s="10"/>
      <c r="Q48" s="10"/>
      <c r="R48" s="10"/>
      <c r="S48" s="16"/>
    </row>
    <row r="49" spans="1:19" ht="12.75">
      <c r="A49" s="24">
        <f t="shared" si="25"/>
        <v>40</v>
      </c>
      <c r="B49" s="20">
        <f t="shared" si="18"/>
        <v>350</v>
      </c>
      <c r="C49" s="21">
        <f t="shared" si="19"/>
        <v>40</v>
      </c>
      <c r="D49" s="21">
        <f t="shared" si="20"/>
        <v>310</v>
      </c>
      <c r="E49" s="20">
        <f t="shared" si="21"/>
        <v>1.3125</v>
      </c>
      <c r="F49" s="10">
        <f t="shared" si="22"/>
        <v>-1</v>
      </c>
      <c r="G49" s="10">
        <f t="shared" si="23"/>
        <v>-1</v>
      </c>
      <c r="H49" s="16">
        <f t="shared" si="24"/>
        <v>-1</v>
      </c>
      <c r="I49" s="42" t="s">
        <v>49</v>
      </c>
      <c r="K49" s="39">
        <f>(P_fert2*VCratio2/(2*FRC_c2))*(-1)*(P_crop2)^(-2)*(P_crop2/D_fert2)</f>
        <v>0.47058823529411764</v>
      </c>
      <c r="L49" s="32" t="s">
        <v>74</v>
      </c>
      <c r="M49" s="10"/>
      <c r="N49" s="46">
        <f>EXP(CDC_a2+CDC_b2*LN(N48))</f>
        <v>100.00000000000004</v>
      </c>
      <c r="O49" s="15"/>
      <c r="P49" s="10"/>
      <c r="Q49" s="10"/>
      <c r="R49" s="10"/>
      <c r="S49" s="16"/>
    </row>
    <row r="50" spans="1:19" ht="12.75">
      <c r="A50" s="24">
        <f t="shared" si="25"/>
        <v>41</v>
      </c>
      <c r="B50" s="20">
        <f t="shared" si="18"/>
        <v>351.1875</v>
      </c>
      <c r="C50" s="21">
        <f t="shared" si="19"/>
        <v>41</v>
      </c>
      <c r="D50" s="21">
        <f t="shared" si="20"/>
        <v>310.1875</v>
      </c>
      <c r="E50" s="20">
        <f t="shared" si="21"/>
        <v>1.1875</v>
      </c>
      <c r="F50" s="10">
        <f t="shared" si="22"/>
        <v>-1</v>
      </c>
      <c r="G50" s="10">
        <f t="shared" si="23"/>
        <v>-1</v>
      </c>
      <c r="H50" s="16">
        <f t="shared" si="24"/>
        <v>-1</v>
      </c>
      <c r="I50" s="42" t="s">
        <v>56</v>
      </c>
      <c r="K50" s="21">
        <f>(FRC_b2+2*FRC_c2*D_fert2)*(Fert_use2/Yield2)</f>
        <v>0.19985304922850844</v>
      </c>
      <c r="L50" s="68" t="s">
        <v>99</v>
      </c>
      <c r="M50" s="10"/>
      <c r="N50" s="46">
        <f>EXP(CSC_a2+CSC_b2*LN(N48)+LN(Yield2))</f>
        <v>100.00000000000004</v>
      </c>
      <c r="O50" s="15"/>
      <c r="P50" s="10"/>
      <c r="Q50" s="10"/>
      <c r="R50" s="10"/>
      <c r="S50" s="16"/>
    </row>
    <row r="51" spans="1:19" ht="12.75">
      <c r="A51" s="24">
        <f t="shared" si="25"/>
        <v>42</v>
      </c>
      <c r="B51" s="20">
        <f t="shared" si="18"/>
        <v>352.25</v>
      </c>
      <c r="C51" s="21">
        <f t="shared" si="19"/>
        <v>42</v>
      </c>
      <c r="D51" s="21">
        <f t="shared" si="20"/>
        <v>310.25</v>
      </c>
      <c r="E51" s="20">
        <f t="shared" si="21"/>
        <v>1.0625</v>
      </c>
      <c r="F51" s="10">
        <f t="shared" si="22"/>
        <v>-1</v>
      </c>
      <c r="G51" s="10">
        <f t="shared" si="23"/>
        <v>352.25</v>
      </c>
      <c r="H51" s="16">
        <f t="shared" si="24"/>
        <v>-1</v>
      </c>
      <c r="I51" s="42" t="s">
        <v>57</v>
      </c>
      <c r="J51" s="36"/>
      <c r="K51" s="50">
        <f>K49*K50</f>
        <v>0.0940484937545922</v>
      </c>
      <c r="L51" s="24"/>
      <c r="M51" s="10"/>
      <c r="N51" s="10"/>
      <c r="O51" s="15"/>
      <c r="P51" s="10"/>
      <c r="Q51" s="10"/>
      <c r="R51" s="10"/>
      <c r="S51" s="16"/>
    </row>
    <row r="52" spans="1:19" ht="12.75">
      <c r="A52" s="24">
        <f t="shared" si="25"/>
        <v>43</v>
      </c>
      <c r="B52" s="20">
        <f t="shared" si="18"/>
        <v>353.1875</v>
      </c>
      <c r="C52" s="21">
        <f t="shared" si="19"/>
        <v>43</v>
      </c>
      <c r="D52" s="21">
        <f t="shared" si="20"/>
        <v>310.1875</v>
      </c>
      <c r="E52" s="20">
        <f t="shared" si="21"/>
        <v>0.9375</v>
      </c>
      <c r="F52" s="10">
        <f t="shared" si="22"/>
        <v>-1</v>
      </c>
      <c r="G52" s="10">
        <f t="shared" si="23"/>
        <v>-1</v>
      </c>
      <c r="H52" s="16">
        <f t="shared" si="24"/>
        <v>-1</v>
      </c>
      <c r="I52" s="20"/>
      <c r="J52" s="20"/>
      <c r="K52" s="16"/>
      <c r="L52" s="24" t="s">
        <v>54</v>
      </c>
      <c r="M52" s="10"/>
      <c r="N52" s="10"/>
      <c r="O52" s="15"/>
      <c r="P52" s="10"/>
      <c r="Q52" s="10"/>
      <c r="R52" s="10"/>
      <c r="S52" s="16"/>
    </row>
    <row r="53" spans="1:19" ht="12.75">
      <c r="A53" s="24">
        <f t="shared" si="25"/>
        <v>44</v>
      </c>
      <c r="B53" s="20">
        <f t="shared" si="18"/>
        <v>354</v>
      </c>
      <c r="C53" s="21">
        <f t="shared" si="19"/>
        <v>44</v>
      </c>
      <c r="D53" s="21">
        <f t="shared" si="20"/>
        <v>310</v>
      </c>
      <c r="E53" s="20">
        <f t="shared" si="21"/>
        <v>0.8125</v>
      </c>
      <c r="F53" s="10">
        <f t="shared" si="22"/>
        <v>-1</v>
      </c>
      <c r="G53" s="10">
        <f t="shared" si="23"/>
        <v>-1</v>
      </c>
      <c r="H53" s="16">
        <f t="shared" si="24"/>
        <v>-1</v>
      </c>
      <c r="I53" s="20"/>
      <c r="J53" s="20"/>
      <c r="K53" s="16"/>
      <c r="L53" s="24"/>
      <c r="M53" s="10"/>
      <c r="N53" s="10"/>
      <c r="O53" s="15"/>
      <c r="P53" s="10"/>
      <c r="Q53" s="10"/>
      <c r="R53" s="10"/>
      <c r="S53" s="16"/>
    </row>
    <row r="54" spans="1:19" ht="12.75">
      <c r="A54" s="24">
        <f t="shared" si="25"/>
        <v>45</v>
      </c>
      <c r="B54" s="20">
        <f t="shared" si="18"/>
        <v>354.6875</v>
      </c>
      <c r="C54" s="21">
        <f t="shared" si="19"/>
        <v>45</v>
      </c>
      <c r="D54" s="21">
        <f t="shared" si="20"/>
        <v>309.6875</v>
      </c>
      <c r="E54" s="20">
        <f t="shared" si="21"/>
        <v>0.6875</v>
      </c>
      <c r="F54" s="10">
        <f t="shared" si="22"/>
        <v>-1</v>
      </c>
      <c r="G54" s="10">
        <f t="shared" si="23"/>
        <v>-1</v>
      </c>
      <c r="H54" s="16">
        <f t="shared" si="24"/>
        <v>-1</v>
      </c>
      <c r="I54" s="20"/>
      <c r="J54" s="20"/>
      <c r="K54" s="16"/>
      <c r="L54" s="41" t="s">
        <v>71</v>
      </c>
      <c r="M54" s="10"/>
      <c r="N54" s="10"/>
      <c r="O54" s="15"/>
      <c r="P54" s="10"/>
      <c r="Q54" s="10"/>
      <c r="R54" s="10"/>
      <c r="S54" s="16"/>
    </row>
    <row r="55" spans="1:19" ht="12.75">
      <c r="A55" s="24">
        <f t="shared" si="25"/>
        <v>46</v>
      </c>
      <c r="B55" s="20">
        <f t="shared" si="18"/>
        <v>355.25</v>
      </c>
      <c r="C55" s="21">
        <f t="shared" si="19"/>
        <v>46</v>
      </c>
      <c r="D55" s="21">
        <f t="shared" si="20"/>
        <v>309.25</v>
      </c>
      <c r="E55" s="20">
        <f t="shared" si="21"/>
        <v>0.5625</v>
      </c>
      <c r="F55" s="10">
        <f t="shared" si="22"/>
        <v>-1</v>
      </c>
      <c r="G55" s="10">
        <f t="shared" si="23"/>
        <v>-1</v>
      </c>
      <c r="H55" s="16">
        <f t="shared" si="24"/>
        <v>-1</v>
      </c>
      <c r="I55" s="20"/>
      <c r="J55" s="20"/>
      <c r="K55" s="16"/>
      <c r="L55" s="24" t="s">
        <v>52</v>
      </c>
      <c r="M55" s="10"/>
      <c r="N55" s="10"/>
      <c r="O55" s="15"/>
      <c r="P55" s="10"/>
      <c r="Q55" s="10"/>
      <c r="R55" s="10"/>
      <c r="S55" s="16"/>
    </row>
    <row r="56" spans="1:19" ht="12.75">
      <c r="A56" s="24">
        <f t="shared" si="25"/>
        <v>47</v>
      </c>
      <c r="B56" s="20">
        <f t="shared" si="18"/>
        <v>355.6875</v>
      </c>
      <c r="C56" s="21">
        <f t="shared" si="19"/>
        <v>47</v>
      </c>
      <c r="D56" s="21">
        <f t="shared" si="20"/>
        <v>308.6875</v>
      </c>
      <c r="E56" s="20">
        <f t="shared" si="21"/>
        <v>0.4375</v>
      </c>
      <c r="F56" s="10">
        <f t="shared" si="22"/>
        <v>-1</v>
      </c>
      <c r="G56" s="10">
        <f t="shared" si="23"/>
        <v>-1</v>
      </c>
      <c r="H56" s="16">
        <f t="shared" si="24"/>
        <v>-1</v>
      </c>
      <c r="I56" s="20"/>
      <c r="J56" s="20"/>
      <c r="K56" s="16"/>
      <c r="L56" s="24" t="s">
        <v>53</v>
      </c>
      <c r="M56" s="10"/>
      <c r="N56" s="10"/>
      <c r="O56" s="15"/>
      <c r="P56" s="10"/>
      <c r="Q56" s="10"/>
      <c r="R56" s="10"/>
      <c r="S56" s="16"/>
    </row>
    <row r="57" spans="1:19" ht="12.75">
      <c r="A57" s="24">
        <f t="shared" si="25"/>
        <v>48</v>
      </c>
      <c r="B57" s="20">
        <f t="shared" si="18"/>
        <v>356</v>
      </c>
      <c r="C57" s="21">
        <f t="shared" si="19"/>
        <v>48</v>
      </c>
      <c r="D57" s="21">
        <f t="shared" si="20"/>
        <v>308</v>
      </c>
      <c r="E57" s="20">
        <f t="shared" si="21"/>
        <v>0.3125</v>
      </c>
      <c r="F57" s="10">
        <f t="shared" si="22"/>
        <v>-1</v>
      </c>
      <c r="G57" s="10">
        <f t="shared" si="23"/>
        <v>-1</v>
      </c>
      <c r="H57" s="16">
        <f t="shared" si="24"/>
        <v>-1</v>
      </c>
      <c r="I57" s="20"/>
      <c r="J57" s="20"/>
      <c r="K57" s="16"/>
      <c r="L57" s="24"/>
      <c r="M57" s="10"/>
      <c r="N57" s="10"/>
      <c r="O57" s="15"/>
      <c r="P57" s="10"/>
      <c r="Q57" s="10"/>
      <c r="R57" s="10"/>
      <c r="S57" s="16"/>
    </row>
    <row r="58" spans="1:19" ht="12.75">
      <c r="A58" s="24">
        <f t="shared" si="25"/>
        <v>49</v>
      </c>
      <c r="B58" s="20">
        <f t="shared" si="18"/>
        <v>356.1875</v>
      </c>
      <c r="C58" s="21">
        <f t="shared" si="19"/>
        <v>49</v>
      </c>
      <c r="D58" s="21">
        <f t="shared" si="20"/>
        <v>307.1875</v>
      </c>
      <c r="E58" s="20">
        <f t="shared" si="21"/>
        <v>0.1875</v>
      </c>
      <c r="F58" s="10">
        <f t="shared" si="22"/>
        <v>-1</v>
      </c>
      <c r="G58" s="10">
        <f t="shared" si="23"/>
        <v>-1</v>
      </c>
      <c r="H58" s="16">
        <f t="shared" si="24"/>
        <v>-1</v>
      </c>
      <c r="I58" s="20"/>
      <c r="J58" s="20"/>
      <c r="K58" s="16"/>
      <c r="L58" s="15"/>
      <c r="M58" s="10"/>
      <c r="N58" s="10"/>
      <c r="O58" s="15"/>
      <c r="P58" s="10"/>
      <c r="Q58" s="10"/>
      <c r="R58" s="10"/>
      <c r="S58" s="16"/>
    </row>
    <row r="59" spans="1:19" ht="12.75">
      <c r="A59" s="24">
        <f t="shared" si="25"/>
        <v>50</v>
      </c>
      <c r="B59" s="20">
        <f t="shared" si="18"/>
        <v>356.25</v>
      </c>
      <c r="C59" s="21">
        <f t="shared" si="19"/>
        <v>50</v>
      </c>
      <c r="D59" s="21">
        <f t="shared" si="20"/>
        <v>306.25</v>
      </c>
      <c r="E59" s="20">
        <f t="shared" si="21"/>
        <v>0.0625</v>
      </c>
      <c r="F59" s="10">
        <f t="shared" si="22"/>
        <v>356.25</v>
      </c>
      <c r="G59" s="10">
        <f t="shared" si="23"/>
        <v>-1</v>
      </c>
      <c r="H59" s="16">
        <f t="shared" si="24"/>
        <v>-1</v>
      </c>
      <c r="I59" s="20"/>
      <c r="J59" s="20"/>
      <c r="K59" s="16"/>
      <c r="L59" s="15"/>
      <c r="M59" s="10"/>
      <c r="N59" s="10"/>
      <c r="O59" s="15"/>
      <c r="P59" s="10"/>
      <c r="Q59" s="10"/>
      <c r="R59" s="10"/>
      <c r="S59" s="16"/>
    </row>
    <row r="60" spans="1:19" ht="12.75">
      <c r="A60" s="24">
        <f t="shared" si="25"/>
        <v>51</v>
      </c>
      <c r="B60" s="20">
        <f t="shared" si="18"/>
        <v>356.1875</v>
      </c>
      <c r="C60" s="21">
        <f t="shared" si="19"/>
        <v>51</v>
      </c>
      <c r="D60" s="21">
        <f t="shared" si="20"/>
        <v>305.1875</v>
      </c>
      <c r="E60" s="20">
        <f t="shared" si="21"/>
        <v>-0.0625</v>
      </c>
      <c r="F60" s="10">
        <f t="shared" si="22"/>
        <v>-1</v>
      </c>
      <c r="G60" s="10">
        <f t="shared" si="23"/>
        <v>-1</v>
      </c>
      <c r="H60" s="16">
        <f t="shared" si="24"/>
        <v>-1</v>
      </c>
      <c r="I60" s="20"/>
      <c r="J60" s="20"/>
      <c r="K60" s="16"/>
      <c r="L60" s="15"/>
      <c r="M60" s="10"/>
      <c r="N60" s="10"/>
      <c r="O60" s="15"/>
      <c r="P60" s="10"/>
      <c r="Q60" s="10"/>
      <c r="R60" s="10"/>
      <c r="S60" s="16"/>
    </row>
    <row r="61" spans="1:19" ht="12.75">
      <c r="A61" s="24">
        <f t="shared" si="25"/>
        <v>52</v>
      </c>
      <c r="B61" s="20">
        <f t="shared" si="18"/>
        <v>356</v>
      </c>
      <c r="C61" s="21">
        <f t="shared" si="19"/>
        <v>52</v>
      </c>
      <c r="D61" s="21">
        <f t="shared" si="20"/>
        <v>304</v>
      </c>
      <c r="E61" s="20">
        <f t="shared" si="21"/>
        <v>-0.1875</v>
      </c>
      <c r="F61" s="10">
        <f t="shared" si="22"/>
        <v>-1</v>
      </c>
      <c r="G61" s="10">
        <f t="shared" si="23"/>
        <v>-1</v>
      </c>
      <c r="H61" s="16">
        <f t="shared" si="24"/>
        <v>-1</v>
      </c>
      <c r="I61" s="20"/>
      <c r="J61" s="20"/>
      <c r="K61" s="16"/>
      <c r="L61" s="15"/>
      <c r="M61" s="10"/>
      <c r="N61" s="10"/>
      <c r="O61" s="15"/>
      <c r="P61" s="10"/>
      <c r="Q61" s="10"/>
      <c r="R61" s="10"/>
      <c r="S61" s="16"/>
    </row>
    <row r="62" spans="1:19" ht="12.75">
      <c r="A62" s="24">
        <f t="shared" si="25"/>
        <v>53</v>
      </c>
      <c r="B62" s="20">
        <f t="shared" si="18"/>
        <v>355.6875</v>
      </c>
      <c r="C62" s="21">
        <f t="shared" si="19"/>
        <v>53</v>
      </c>
      <c r="D62" s="21">
        <f t="shared" si="20"/>
        <v>302.6875</v>
      </c>
      <c r="E62" s="20">
        <f t="shared" si="21"/>
        <v>-0.3125</v>
      </c>
      <c r="F62" s="10">
        <f t="shared" si="22"/>
        <v>-1</v>
      </c>
      <c r="G62" s="10">
        <f t="shared" si="23"/>
        <v>-1</v>
      </c>
      <c r="H62" s="16">
        <f t="shared" si="24"/>
        <v>-1</v>
      </c>
      <c r="I62" s="20"/>
      <c r="J62" s="20"/>
      <c r="K62" s="16"/>
      <c r="L62" s="15"/>
      <c r="M62" s="10"/>
      <c r="N62" s="10"/>
      <c r="O62" s="15"/>
      <c r="P62" s="10"/>
      <c r="Q62" s="10"/>
      <c r="R62" s="10"/>
      <c r="S62" s="16"/>
    </row>
    <row r="63" spans="1:19" ht="12.75">
      <c r="A63" s="24">
        <f t="shared" si="25"/>
        <v>54</v>
      </c>
      <c r="B63" s="20">
        <f t="shared" si="18"/>
        <v>355.25</v>
      </c>
      <c r="C63" s="21">
        <f t="shared" si="19"/>
        <v>54</v>
      </c>
      <c r="D63" s="21">
        <f t="shared" si="20"/>
        <v>301.25</v>
      </c>
      <c r="E63" s="20">
        <f t="shared" si="21"/>
        <v>-0.4375</v>
      </c>
      <c r="F63" s="10">
        <f t="shared" si="22"/>
        <v>-1</v>
      </c>
      <c r="G63" s="10">
        <f t="shared" si="23"/>
        <v>-1</v>
      </c>
      <c r="H63" s="16">
        <f t="shared" si="24"/>
        <v>-1</v>
      </c>
      <c r="I63" s="20"/>
      <c r="J63" s="20"/>
      <c r="K63" s="16"/>
      <c r="L63" s="15"/>
      <c r="M63" s="10"/>
      <c r="N63" s="10"/>
      <c r="O63" s="15"/>
      <c r="P63" s="10"/>
      <c r="Q63" s="10"/>
      <c r="R63" s="10"/>
      <c r="S63" s="16"/>
    </row>
    <row r="64" spans="1:19" ht="12.75">
      <c r="A64" s="24">
        <f t="shared" si="25"/>
        <v>55</v>
      </c>
      <c r="B64" s="20">
        <f t="shared" si="18"/>
        <v>354.6875</v>
      </c>
      <c r="C64" s="21">
        <f t="shared" si="19"/>
        <v>55</v>
      </c>
      <c r="D64" s="21">
        <f t="shared" si="20"/>
        <v>299.6875</v>
      </c>
      <c r="E64" s="20">
        <f t="shared" si="21"/>
        <v>-0.5625</v>
      </c>
      <c r="F64" s="10">
        <f t="shared" si="22"/>
        <v>-1</v>
      </c>
      <c r="G64" s="10">
        <f t="shared" si="23"/>
        <v>-1</v>
      </c>
      <c r="H64" s="16">
        <f t="shared" si="24"/>
        <v>-1</v>
      </c>
      <c r="I64" s="20"/>
      <c r="J64" s="20"/>
      <c r="K64" s="16"/>
      <c r="L64" s="15"/>
      <c r="M64" s="10"/>
      <c r="N64" s="10"/>
      <c r="O64" s="15"/>
      <c r="P64" s="10"/>
      <c r="Q64" s="10"/>
      <c r="R64" s="10"/>
      <c r="S64" s="16"/>
    </row>
    <row r="65" spans="1:19" ht="12.75">
      <c r="A65" s="24">
        <f t="shared" si="25"/>
        <v>56</v>
      </c>
      <c r="B65" s="20">
        <f t="shared" si="18"/>
        <v>354</v>
      </c>
      <c r="C65" s="21">
        <f t="shared" si="19"/>
        <v>56</v>
      </c>
      <c r="D65" s="21">
        <f t="shared" si="20"/>
        <v>298</v>
      </c>
      <c r="E65" s="20">
        <f t="shared" si="21"/>
        <v>-0.6875</v>
      </c>
      <c r="F65" s="10">
        <f t="shared" si="22"/>
        <v>-1</v>
      </c>
      <c r="G65" s="10">
        <f t="shared" si="23"/>
        <v>-1</v>
      </c>
      <c r="H65" s="16">
        <f t="shared" si="24"/>
        <v>-1</v>
      </c>
      <c r="I65" s="20"/>
      <c r="J65" s="20"/>
      <c r="K65" s="16"/>
      <c r="L65" s="15"/>
      <c r="M65" s="10"/>
      <c r="N65" s="10"/>
      <c r="O65" s="15"/>
      <c r="P65" s="10"/>
      <c r="Q65" s="10"/>
      <c r="R65" s="10"/>
      <c r="S65" s="16"/>
    </row>
    <row r="66" spans="1:19" ht="12.75">
      <c r="A66" s="24">
        <f t="shared" si="25"/>
        <v>57</v>
      </c>
      <c r="B66" s="20">
        <f t="shared" si="18"/>
        <v>353.1875</v>
      </c>
      <c r="C66" s="21">
        <f t="shared" si="19"/>
        <v>57</v>
      </c>
      <c r="D66" s="21">
        <f t="shared" si="20"/>
        <v>296.1875</v>
      </c>
      <c r="E66" s="20">
        <f t="shared" si="21"/>
        <v>-0.8125</v>
      </c>
      <c r="F66" s="10">
        <f t="shared" si="22"/>
        <v>-1</v>
      </c>
      <c r="G66" s="10">
        <f t="shared" si="23"/>
        <v>-1</v>
      </c>
      <c r="H66" s="16">
        <f t="shared" si="24"/>
        <v>-1</v>
      </c>
      <c r="I66" s="20"/>
      <c r="J66" s="20"/>
      <c r="K66" s="16"/>
      <c r="L66" s="15"/>
      <c r="M66" s="10"/>
      <c r="N66" s="10"/>
      <c r="O66" s="15"/>
      <c r="P66" s="10"/>
      <c r="Q66" s="10"/>
      <c r="R66" s="10"/>
      <c r="S66" s="16"/>
    </row>
    <row r="67" spans="1:19" ht="12.75">
      <c r="A67" s="24">
        <f t="shared" si="25"/>
        <v>58</v>
      </c>
      <c r="B67" s="20">
        <f t="shared" si="18"/>
        <v>352.25</v>
      </c>
      <c r="C67" s="21">
        <f t="shared" si="19"/>
        <v>58</v>
      </c>
      <c r="D67" s="21">
        <f t="shared" si="20"/>
        <v>294.25</v>
      </c>
      <c r="E67" s="20">
        <f t="shared" si="21"/>
        <v>-0.9375</v>
      </c>
      <c r="F67" s="10">
        <f t="shared" si="22"/>
        <v>-1</v>
      </c>
      <c r="G67" s="10">
        <f t="shared" si="23"/>
        <v>-1</v>
      </c>
      <c r="H67" s="16">
        <f t="shared" si="24"/>
        <v>-1</v>
      </c>
      <c r="I67" s="20"/>
      <c r="J67" s="20"/>
      <c r="K67" s="16"/>
      <c r="L67" s="15"/>
      <c r="M67" s="10"/>
      <c r="N67" s="10"/>
      <c r="O67" s="15"/>
      <c r="P67" s="10"/>
      <c r="Q67" s="10"/>
      <c r="R67" s="10"/>
      <c r="S67" s="16"/>
    </row>
    <row r="68" spans="1:19" ht="12.75">
      <c r="A68" s="24">
        <f t="shared" si="25"/>
        <v>59</v>
      </c>
      <c r="B68" s="20">
        <f t="shared" si="18"/>
        <v>351.1875</v>
      </c>
      <c r="C68" s="21">
        <f t="shared" si="19"/>
        <v>59</v>
      </c>
      <c r="D68" s="21">
        <f t="shared" si="20"/>
        <v>292.1875</v>
      </c>
      <c r="E68" s="20">
        <f t="shared" si="21"/>
        <v>-1.0625</v>
      </c>
      <c r="F68" s="10">
        <f t="shared" si="22"/>
        <v>-1</v>
      </c>
      <c r="G68" s="10">
        <f t="shared" si="23"/>
        <v>-1</v>
      </c>
      <c r="H68" s="16">
        <f t="shared" si="24"/>
        <v>-1</v>
      </c>
      <c r="I68" s="20"/>
      <c r="J68" s="20"/>
      <c r="K68" s="16"/>
      <c r="L68" s="15"/>
      <c r="M68" s="10"/>
      <c r="N68" s="10"/>
      <c r="O68" s="15"/>
      <c r="P68" s="10"/>
      <c r="Q68" s="10"/>
      <c r="R68" s="10"/>
      <c r="S68" s="16"/>
    </row>
    <row r="69" spans="1:19" ht="12.75">
      <c r="A69" s="24">
        <f t="shared" si="25"/>
        <v>60</v>
      </c>
      <c r="B69" s="20">
        <f t="shared" si="18"/>
        <v>350</v>
      </c>
      <c r="C69" s="21">
        <f t="shared" si="19"/>
        <v>60</v>
      </c>
      <c r="D69" s="21">
        <f t="shared" si="20"/>
        <v>290</v>
      </c>
      <c r="E69" s="20">
        <f t="shared" si="21"/>
        <v>-1.1875</v>
      </c>
      <c r="F69" s="10">
        <f t="shared" si="22"/>
        <v>-1</v>
      </c>
      <c r="G69" s="10">
        <f t="shared" si="23"/>
        <v>-1</v>
      </c>
      <c r="H69" s="16">
        <f t="shared" si="24"/>
        <v>-1</v>
      </c>
      <c r="I69" s="20"/>
      <c r="J69" s="20"/>
      <c r="K69" s="16"/>
      <c r="L69" s="15"/>
      <c r="M69" s="10"/>
      <c r="N69" s="10"/>
      <c r="O69" s="15"/>
      <c r="P69" s="10"/>
      <c r="Q69" s="10"/>
      <c r="R69" s="10"/>
      <c r="S69" s="16"/>
    </row>
    <row r="70" spans="1:19" ht="12.75">
      <c r="A70" s="24"/>
      <c r="B70" s="20"/>
      <c r="C70" s="21"/>
      <c r="D70" s="21"/>
      <c r="E70" s="20"/>
      <c r="F70" s="10"/>
      <c r="G70" s="10"/>
      <c r="H70" s="16"/>
      <c r="I70" s="20"/>
      <c r="J70" s="20"/>
      <c r="K70" s="16"/>
      <c r="L70" s="15"/>
      <c r="M70" s="10"/>
      <c r="N70" s="10"/>
      <c r="O70" s="15"/>
      <c r="P70" s="10"/>
      <c r="Q70" s="10"/>
      <c r="R70" s="10"/>
      <c r="S70" s="16"/>
    </row>
    <row r="71" spans="1:19" ht="12.75">
      <c r="A71" s="24"/>
      <c r="B71" s="20"/>
      <c r="C71" s="21"/>
      <c r="D71" s="21"/>
      <c r="E71" s="20"/>
      <c r="F71" s="10"/>
      <c r="G71" s="10"/>
      <c r="H71" s="16"/>
      <c r="I71" s="20"/>
      <c r="J71" s="20"/>
      <c r="K71" s="16"/>
      <c r="L71" s="15"/>
      <c r="M71" s="10"/>
      <c r="N71" s="10"/>
      <c r="O71" s="15"/>
      <c r="P71" s="10"/>
      <c r="Q71" s="10"/>
      <c r="R71" s="10"/>
      <c r="S71" s="16"/>
    </row>
    <row r="72" spans="1:19" ht="12.75">
      <c r="A72" s="24"/>
      <c r="B72" s="20"/>
      <c r="C72" s="21"/>
      <c r="D72" s="21"/>
      <c r="E72" s="20"/>
      <c r="F72" s="10"/>
      <c r="G72" s="10"/>
      <c r="H72" s="16"/>
      <c r="I72" s="20"/>
      <c r="J72" s="20"/>
      <c r="K72" s="16"/>
      <c r="L72" s="15"/>
      <c r="M72" s="10"/>
      <c r="N72" s="10"/>
      <c r="O72" s="15"/>
      <c r="P72" s="10"/>
      <c r="Q72" s="10"/>
      <c r="R72" s="10"/>
      <c r="S72" s="16"/>
    </row>
    <row r="73" spans="1:19" ht="12.75">
      <c r="A73" s="24"/>
      <c r="B73" s="20"/>
      <c r="C73" s="21"/>
      <c r="D73" s="21"/>
      <c r="E73" s="20"/>
      <c r="F73" s="10"/>
      <c r="G73" s="10"/>
      <c r="H73" s="16"/>
      <c r="I73" s="20"/>
      <c r="J73" s="20"/>
      <c r="K73" s="16"/>
      <c r="L73" s="15"/>
      <c r="M73" s="10"/>
      <c r="N73" s="10"/>
      <c r="O73" s="15"/>
      <c r="P73" s="10"/>
      <c r="Q73" s="10"/>
      <c r="R73" s="10"/>
      <c r="S73" s="16"/>
    </row>
    <row r="74" spans="1:19" ht="12.75">
      <c r="A74" s="24"/>
      <c r="B74" s="20"/>
      <c r="C74" s="21"/>
      <c r="D74" s="21"/>
      <c r="E74" s="20"/>
      <c r="F74" s="10"/>
      <c r="G74" s="10"/>
      <c r="H74" s="16"/>
      <c r="I74" s="20"/>
      <c r="J74" s="20"/>
      <c r="K74" s="16"/>
      <c r="L74" s="15"/>
      <c r="M74" s="10"/>
      <c r="N74" s="10"/>
      <c r="O74" s="15"/>
      <c r="P74" s="10"/>
      <c r="Q74" s="10"/>
      <c r="R74" s="10"/>
      <c r="S74" s="16"/>
    </row>
    <row r="75" spans="1:19" ht="12.75">
      <c r="A75" s="24"/>
      <c r="B75" s="20"/>
      <c r="C75" s="21"/>
      <c r="D75" s="21"/>
      <c r="E75" s="20"/>
      <c r="F75" s="10"/>
      <c r="G75" s="10"/>
      <c r="H75" s="16"/>
      <c r="I75" s="20"/>
      <c r="J75" s="20"/>
      <c r="K75" s="16"/>
      <c r="L75" s="15"/>
      <c r="M75" s="10"/>
      <c r="N75" s="10"/>
      <c r="O75" s="15"/>
      <c r="P75" s="10"/>
      <c r="Q75" s="10"/>
      <c r="R75" s="10"/>
      <c r="S75" s="16"/>
    </row>
    <row r="76" spans="1:19" ht="12.75">
      <c r="A76" s="24"/>
      <c r="B76" s="20"/>
      <c r="C76" s="21"/>
      <c r="D76" s="21"/>
      <c r="E76" s="20"/>
      <c r="F76" s="10"/>
      <c r="G76" s="10"/>
      <c r="H76" s="16"/>
      <c r="I76" s="20"/>
      <c r="J76" s="20"/>
      <c r="K76" s="16"/>
      <c r="L76" s="15"/>
      <c r="M76" s="10"/>
      <c r="N76" s="10"/>
      <c r="O76" s="15"/>
      <c r="P76" s="10"/>
      <c r="Q76" s="10"/>
      <c r="R76" s="10"/>
      <c r="S76" s="16"/>
    </row>
    <row r="77" spans="1:19" ht="12.75">
      <c r="A77" s="24"/>
      <c r="B77" s="20"/>
      <c r="C77" s="21"/>
      <c r="D77" s="21"/>
      <c r="E77" s="20"/>
      <c r="F77" s="10"/>
      <c r="G77" s="10"/>
      <c r="H77" s="16"/>
      <c r="I77" s="20"/>
      <c r="J77" s="20"/>
      <c r="K77" s="16"/>
      <c r="L77" s="15"/>
      <c r="M77" s="10"/>
      <c r="N77" s="10"/>
      <c r="O77" s="15"/>
      <c r="P77" s="10"/>
      <c r="Q77" s="10"/>
      <c r="R77" s="10"/>
      <c r="S77" s="16"/>
    </row>
    <row r="78" spans="1:19" ht="12.75">
      <c r="A78" s="24"/>
      <c r="B78" s="20"/>
      <c r="C78" s="21"/>
      <c r="D78" s="21"/>
      <c r="E78" s="20"/>
      <c r="F78" s="10"/>
      <c r="G78" s="10"/>
      <c r="H78" s="16"/>
      <c r="I78" s="20"/>
      <c r="J78" s="20"/>
      <c r="K78" s="16"/>
      <c r="L78" s="15"/>
      <c r="M78" s="10"/>
      <c r="N78" s="10"/>
      <c r="O78" s="15"/>
      <c r="P78" s="10"/>
      <c r="Q78" s="10"/>
      <c r="R78" s="10"/>
      <c r="S78" s="16"/>
    </row>
    <row r="79" spans="1:19" ht="12.75">
      <c r="A79" s="24"/>
      <c r="B79" s="20"/>
      <c r="C79" s="21"/>
      <c r="D79" s="21"/>
      <c r="E79" s="20"/>
      <c r="F79" s="10"/>
      <c r="G79" s="10"/>
      <c r="H79" s="16"/>
      <c r="I79" s="20"/>
      <c r="J79" s="20"/>
      <c r="K79" s="16"/>
      <c r="L79" s="15"/>
      <c r="M79" s="10"/>
      <c r="N79" s="10"/>
      <c r="O79" s="15"/>
      <c r="P79" s="10"/>
      <c r="Q79" s="10"/>
      <c r="R79" s="10"/>
      <c r="S79" s="16"/>
    </row>
    <row r="80" spans="1:19" ht="12.75">
      <c r="A80" s="24"/>
      <c r="B80" s="20"/>
      <c r="C80" s="21"/>
      <c r="D80" s="21"/>
      <c r="E80" s="20"/>
      <c r="F80" s="10"/>
      <c r="G80" s="10"/>
      <c r="H80" s="16"/>
      <c r="I80" s="20"/>
      <c r="J80" s="20"/>
      <c r="K80" s="16"/>
      <c r="L80" s="15"/>
      <c r="M80" s="10"/>
      <c r="N80" s="10"/>
      <c r="O80" s="15"/>
      <c r="P80" s="10"/>
      <c r="Q80" s="10"/>
      <c r="R80" s="10"/>
      <c r="S80" s="16"/>
    </row>
    <row r="81" spans="1:19" ht="12.75">
      <c r="A81" s="24"/>
      <c r="B81" s="20"/>
      <c r="C81" s="21"/>
      <c r="D81" s="21"/>
      <c r="E81" s="20"/>
      <c r="F81" s="10"/>
      <c r="G81" s="10"/>
      <c r="H81" s="16"/>
      <c r="I81" s="20"/>
      <c r="J81" s="20"/>
      <c r="K81" s="16"/>
      <c r="L81" s="15"/>
      <c r="M81" s="10"/>
      <c r="N81" s="10"/>
      <c r="O81" s="15"/>
      <c r="P81" s="10"/>
      <c r="Q81" s="10"/>
      <c r="R81" s="10"/>
      <c r="S81" s="16"/>
    </row>
    <row r="82" spans="1:19" ht="12.75">
      <c r="A82" s="24"/>
      <c r="B82" s="20"/>
      <c r="C82" s="21"/>
      <c r="D82" s="21"/>
      <c r="E82" s="20"/>
      <c r="F82" s="10"/>
      <c r="G82" s="10"/>
      <c r="H82" s="16"/>
      <c r="I82" s="15"/>
      <c r="J82" s="20"/>
      <c r="K82" s="16"/>
      <c r="L82" s="15"/>
      <c r="M82" s="10"/>
      <c r="N82" s="10"/>
      <c r="O82" s="15"/>
      <c r="P82" s="10"/>
      <c r="Q82" s="10"/>
      <c r="R82" s="10"/>
      <c r="S82" s="16"/>
    </row>
    <row r="83" spans="1:19" ht="12.75">
      <c r="A83" s="24"/>
      <c r="B83" s="20"/>
      <c r="C83" s="21"/>
      <c r="D83" s="21"/>
      <c r="E83" s="20"/>
      <c r="F83" s="10"/>
      <c r="G83" s="10"/>
      <c r="H83" s="16"/>
      <c r="I83" s="15"/>
      <c r="J83" s="20"/>
      <c r="K83" s="16"/>
      <c r="L83" s="15"/>
      <c r="M83" s="10"/>
      <c r="N83" s="10"/>
      <c r="O83" s="15"/>
      <c r="P83" s="10"/>
      <c r="Q83" s="10"/>
      <c r="R83" s="10"/>
      <c r="S83" s="16"/>
    </row>
    <row r="84" spans="1:19" ht="12.75">
      <c r="A84" s="24"/>
      <c r="B84" s="20"/>
      <c r="C84" s="21"/>
      <c r="D84" s="21"/>
      <c r="E84" s="20"/>
      <c r="F84" s="10"/>
      <c r="G84" s="10"/>
      <c r="H84" s="16"/>
      <c r="I84" s="15"/>
      <c r="J84" s="20"/>
      <c r="K84" s="16"/>
      <c r="L84" s="15"/>
      <c r="M84" s="10"/>
      <c r="N84" s="10"/>
      <c r="O84" s="15"/>
      <c r="P84" s="10"/>
      <c r="Q84" s="10"/>
      <c r="R84" s="10"/>
      <c r="S84" s="16"/>
    </row>
    <row r="85" spans="1:19" ht="12.75">
      <c r="A85" s="24"/>
      <c r="B85" s="20"/>
      <c r="C85" s="21"/>
      <c r="D85" s="21"/>
      <c r="E85" s="20"/>
      <c r="F85" s="10"/>
      <c r="G85" s="10"/>
      <c r="H85" s="16"/>
      <c r="I85" s="15"/>
      <c r="J85" s="20"/>
      <c r="K85" s="16"/>
      <c r="L85" s="15"/>
      <c r="M85" s="10"/>
      <c r="N85" s="10"/>
      <c r="O85" s="15"/>
      <c r="P85" s="10"/>
      <c r="Q85" s="10"/>
      <c r="R85" s="10"/>
      <c r="S85" s="16"/>
    </row>
    <row r="86" spans="1:19" ht="12.75">
      <c r="A86" s="24"/>
      <c r="B86" s="20"/>
      <c r="C86" s="21"/>
      <c r="D86" s="21"/>
      <c r="E86" s="20"/>
      <c r="F86" s="10"/>
      <c r="G86" s="10"/>
      <c r="H86" s="16"/>
      <c r="I86" s="15"/>
      <c r="J86" s="20"/>
      <c r="K86" s="16"/>
      <c r="L86" s="15"/>
      <c r="M86" s="10"/>
      <c r="N86" s="10"/>
      <c r="O86" s="15"/>
      <c r="P86" s="10"/>
      <c r="Q86" s="10"/>
      <c r="R86" s="10"/>
      <c r="S86" s="16"/>
    </row>
    <row r="87" spans="1:19" ht="12.75">
      <c r="A87" s="24"/>
      <c r="B87" s="20"/>
      <c r="C87" s="21"/>
      <c r="D87" s="21"/>
      <c r="E87" s="20"/>
      <c r="F87" s="10"/>
      <c r="G87" s="10"/>
      <c r="H87" s="16"/>
      <c r="I87" s="15"/>
      <c r="J87" s="20"/>
      <c r="K87" s="16"/>
      <c r="L87" s="15"/>
      <c r="M87" s="10"/>
      <c r="N87" s="10"/>
      <c r="O87" s="15"/>
      <c r="P87" s="10"/>
      <c r="Q87" s="10"/>
      <c r="R87" s="10"/>
      <c r="S87" s="16"/>
    </row>
    <row r="88" spans="1:19" ht="12.75">
      <c r="A88" s="24"/>
      <c r="B88" s="20"/>
      <c r="C88" s="21"/>
      <c r="D88" s="21"/>
      <c r="E88" s="20"/>
      <c r="F88" s="10"/>
      <c r="G88" s="10"/>
      <c r="H88" s="16"/>
      <c r="I88" s="15"/>
      <c r="J88" s="20"/>
      <c r="K88" s="16"/>
      <c r="L88" s="15"/>
      <c r="M88" s="10"/>
      <c r="N88" s="10"/>
      <c r="O88" s="15"/>
      <c r="P88" s="10"/>
      <c r="Q88" s="10"/>
      <c r="R88" s="10"/>
      <c r="S88" s="16"/>
    </row>
    <row r="89" spans="1:19" ht="12.75">
      <c r="A89" s="24"/>
      <c r="B89" s="20"/>
      <c r="C89" s="21"/>
      <c r="D89" s="21"/>
      <c r="E89" s="20"/>
      <c r="F89" s="10"/>
      <c r="G89" s="10"/>
      <c r="H89" s="16"/>
      <c r="I89" s="15"/>
      <c r="J89" s="20"/>
      <c r="K89" s="16"/>
      <c r="L89" s="15"/>
      <c r="M89" s="10"/>
      <c r="N89" s="10"/>
      <c r="O89" s="15"/>
      <c r="P89" s="10"/>
      <c r="Q89" s="10"/>
      <c r="R89" s="10"/>
      <c r="S89" s="16"/>
    </row>
    <row r="90" spans="1:19" ht="12.75">
      <c r="A90" s="24"/>
      <c r="B90" s="20"/>
      <c r="C90" s="21"/>
      <c r="D90" s="21"/>
      <c r="E90" s="20"/>
      <c r="F90" s="10"/>
      <c r="G90" s="10"/>
      <c r="H90" s="16"/>
      <c r="I90" s="15"/>
      <c r="J90" s="20"/>
      <c r="K90" s="16"/>
      <c r="L90" s="15"/>
      <c r="M90" s="10"/>
      <c r="N90" s="10"/>
      <c r="O90" s="15"/>
      <c r="P90" s="10"/>
      <c r="Q90" s="10"/>
      <c r="R90" s="10"/>
      <c r="S90" s="16"/>
    </row>
    <row r="91" spans="1:19" ht="12.75">
      <c r="A91" s="24"/>
      <c r="B91" s="20"/>
      <c r="C91" s="21"/>
      <c r="D91" s="21"/>
      <c r="E91" s="20"/>
      <c r="F91" s="10"/>
      <c r="G91" s="10"/>
      <c r="H91" s="16"/>
      <c r="I91" s="15"/>
      <c r="J91" s="20"/>
      <c r="K91" s="16"/>
      <c r="L91" s="15"/>
      <c r="M91" s="10"/>
      <c r="N91" s="10"/>
      <c r="O91" s="15"/>
      <c r="P91" s="10"/>
      <c r="Q91" s="10"/>
      <c r="R91" s="10"/>
      <c r="S91" s="16"/>
    </row>
    <row r="92" spans="1:19" ht="12.75">
      <c r="A92" s="24"/>
      <c r="B92" s="20"/>
      <c r="C92" s="21"/>
      <c r="D92" s="21"/>
      <c r="E92" s="20"/>
      <c r="F92" s="10"/>
      <c r="G92" s="10"/>
      <c r="H92" s="16"/>
      <c r="I92" s="15"/>
      <c r="J92" s="20"/>
      <c r="K92" s="16"/>
      <c r="L92" s="15"/>
      <c r="M92" s="10"/>
      <c r="N92" s="10"/>
      <c r="O92" s="15"/>
      <c r="P92" s="10"/>
      <c r="Q92" s="10"/>
      <c r="R92" s="10"/>
      <c r="S92" s="16"/>
    </row>
    <row r="93" spans="1:19" ht="12.75">
      <c r="A93" s="24"/>
      <c r="B93" s="20"/>
      <c r="C93" s="21"/>
      <c r="D93" s="21"/>
      <c r="E93" s="20"/>
      <c r="F93" s="10"/>
      <c r="G93" s="10"/>
      <c r="H93" s="16"/>
      <c r="I93" s="15"/>
      <c r="J93" s="20"/>
      <c r="K93" s="16"/>
      <c r="L93" s="15"/>
      <c r="M93" s="10"/>
      <c r="N93" s="10"/>
      <c r="O93" s="15"/>
      <c r="P93" s="10"/>
      <c r="Q93" s="10"/>
      <c r="R93" s="10"/>
      <c r="S93" s="16"/>
    </row>
    <row r="94" spans="1:19" ht="12.75">
      <c r="A94" s="24"/>
      <c r="B94" s="20"/>
      <c r="C94" s="21"/>
      <c r="D94" s="21"/>
      <c r="E94" s="20"/>
      <c r="F94" s="10"/>
      <c r="G94" s="10"/>
      <c r="H94" s="16"/>
      <c r="I94" s="15"/>
      <c r="J94" s="20"/>
      <c r="K94" s="16"/>
      <c r="L94" s="15"/>
      <c r="M94" s="10"/>
      <c r="N94" s="10"/>
      <c r="O94" s="15"/>
      <c r="P94" s="10"/>
      <c r="Q94" s="10"/>
      <c r="R94" s="10"/>
      <c r="S94" s="16"/>
    </row>
    <row r="95" spans="1:19" ht="12.75">
      <c r="A95" s="24"/>
      <c r="B95" s="20"/>
      <c r="C95" s="21"/>
      <c r="D95" s="21"/>
      <c r="E95" s="20"/>
      <c r="F95" s="10"/>
      <c r="G95" s="10"/>
      <c r="H95" s="16"/>
      <c r="I95" s="15"/>
      <c r="J95" s="20"/>
      <c r="K95" s="16"/>
      <c r="L95" s="15"/>
      <c r="M95" s="10"/>
      <c r="N95" s="10"/>
      <c r="O95" s="15"/>
      <c r="P95" s="10"/>
      <c r="Q95" s="10"/>
      <c r="R95" s="10"/>
      <c r="S95" s="16"/>
    </row>
    <row r="96" spans="1:19" ht="12.75">
      <c r="A96" s="24"/>
      <c r="B96" s="20"/>
      <c r="C96" s="21"/>
      <c r="D96" s="21"/>
      <c r="E96" s="20"/>
      <c r="F96" s="10"/>
      <c r="G96" s="10"/>
      <c r="H96" s="16"/>
      <c r="I96" s="15"/>
      <c r="J96" s="20"/>
      <c r="K96" s="16"/>
      <c r="L96" s="15"/>
      <c r="M96" s="10"/>
      <c r="N96" s="10"/>
      <c r="O96" s="15"/>
      <c r="P96" s="10"/>
      <c r="Q96" s="10"/>
      <c r="R96" s="10"/>
      <c r="S96" s="16"/>
    </row>
    <row r="97" spans="1:19" ht="12.75">
      <c r="A97" s="24"/>
      <c r="B97" s="20"/>
      <c r="C97" s="21"/>
      <c r="D97" s="21"/>
      <c r="E97" s="20"/>
      <c r="F97" s="10"/>
      <c r="G97" s="10"/>
      <c r="H97" s="16"/>
      <c r="I97" s="15"/>
      <c r="J97" s="20"/>
      <c r="K97" s="16"/>
      <c r="L97" s="15"/>
      <c r="M97" s="10"/>
      <c r="N97" s="10"/>
      <c r="O97" s="15"/>
      <c r="P97" s="10"/>
      <c r="Q97" s="10"/>
      <c r="R97" s="10"/>
      <c r="S97" s="16"/>
    </row>
    <row r="98" spans="1:19" ht="12.75">
      <c r="A98" s="25"/>
      <c r="B98" s="26"/>
      <c r="C98" s="27"/>
      <c r="D98" s="27"/>
      <c r="E98" s="26"/>
      <c r="F98" s="12"/>
      <c r="G98" s="12"/>
      <c r="H98" s="28"/>
      <c r="I98" s="29"/>
      <c r="J98" s="26"/>
      <c r="K98" s="28"/>
      <c r="L98" s="29"/>
      <c r="M98" s="12"/>
      <c r="N98" s="12"/>
      <c r="O98" s="29"/>
      <c r="P98" s="12"/>
      <c r="Q98" s="12"/>
      <c r="R98" s="12"/>
      <c r="S98" s="28"/>
    </row>
  </sheetData>
  <sheetProtection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</dc:creator>
  <cp:keywords/>
  <dc:description/>
  <cp:lastModifiedBy>Payne, Kenna</cp:lastModifiedBy>
  <dcterms:created xsi:type="dcterms:W3CDTF">2007-02-07T22:41:33Z</dcterms:created>
  <dcterms:modified xsi:type="dcterms:W3CDTF">2018-05-23T19:56:15Z</dcterms:modified>
  <cp:category/>
  <cp:version/>
  <cp:contentType/>
  <cp:contentStatus/>
</cp:coreProperties>
</file>