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E:\Desktop work home 4.9.20\Ratemaking\Presentations\"/>
    </mc:Choice>
  </mc:AlternateContent>
  <xr:revisionPtr revIDLastSave="0" documentId="8_{041EBCD8-B333-4B07-A366-9FF07C80C066}" xr6:coauthVersionLast="45" xr6:coauthVersionMax="45" xr10:uidLastSave="{00000000-0000-0000-0000-000000000000}"/>
  <workbookProtection workbookAlgorithmName="SHA-512" workbookHashValue="vy1cvouDG8hkJEIvQlKM1V7IycJ5NWFMcrrq8WVcYi7E/BgLOgN37U7dMx6M6dBlH58uHmbyZyFBSby5v01G6Q==" workbookSaltValue="ebaOKlVXYS9+F5fE/igJBA==" workbookSpinCount="100000" lockStructure="1"/>
  <bookViews>
    <workbookView xWindow="-120" yWindow="-120" windowWidth="29040" windowHeight="15840" xr2:uid="{00000000-000D-0000-FFFF-FFFF00000000}"/>
  </bookViews>
  <sheets>
    <sheet name="Calculator" sheetId="1" r:id="rId1"/>
    <sheet name="Inputs" sheetId="2" state="hidden" r:id="rId2"/>
  </sheets>
  <definedNames>
    <definedName name="_xlnm.Print_Area" localSheetId="0">Calculator!$B$1:$C$34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2" l="1"/>
  <c r="AA95" i="2" s="1"/>
  <c r="C94" i="2"/>
  <c r="AA94" i="2"/>
  <c r="C93" i="2"/>
  <c r="AA93" i="2"/>
  <c r="C4" i="2"/>
  <c r="W4" i="2" s="1"/>
  <c r="M4" i="2"/>
  <c r="N4" i="2"/>
  <c r="O4" i="2"/>
  <c r="V4" i="2" s="1"/>
  <c r="S4" i="2"/>
  <c r="C5" i="2"/>
  <c r="P5" i="2" s="1"/>
  <c r="T5" i="2" s="1"/>
  <c r="M5" i="2"/>
  <c r="C6" i="2"/>
  <c r="P6" i="2"/>
  <c r="M6" i="2"/>
  <c r="T6" i="2" s="1"/>
  <c r="C7" i="2"/>
  <c r="P7" i="2" s="1"/>
  <c r="T7" i="2" s="1"/>
  <c r="M7" i="2"/>
  <c r="C8" i="2"/>
  <c r="P8" i="2"/>
  <c r="M8" i="2"/>
  <c r="T8" i="2" s="1"/>
  <c r="C9" i="2"/>
  <c r="AA9" i="2" s="1"/>
  <c r="C10" i="2"/>
  <c r="AA10" i="2"/>
  <c r="C11" i="2"/>
  <c r="AA11" i="2"/>
  <c r="C12" i="2"/>
  <c r="P12" i="2" s="1"/>
  <c r="T12" i="2" s="1"/>
  <c r="AA12" i="2" s="1"/>
  <c r="M12" i="2"/>
  <c r="C13" i="2"/>
  <c r="AA13" i="2" s="1"/>
  <c r="P13" i="2"/>
  <c r="M13" i="2"/>
  <c r="T13" i="2" s="1"/>
  <c r="C14" i="2"/>
  <c r="M14" i="2"/>
  <c r="P14" i="2"/>
  <c r="T14" i="2" s="1"/>
  <c r="AA14" i="2" s="1"/>
  <c r="C15" i="2"/>
  <c r="P15" i="2" s="1"/>
  <c r="T15" i="2" s="1"/>
  <c r="M15" i="2"/>
  <c r="C16" i="2"/>
  <c r="P16" i="2"/>
  <c r="M16" i="2"/>
  <c r="T16" i="2" s="1"/>
  <c r="AA16" i="2" s="1"/>
  <c r="C17" i="2"/>
  <c r="P17" i="2" s="1"/>
  <c r="T17" i="2" s="1"/>
  <c r="M17" i="2"/>
  <c r="C18" i="2"/>
  <c r="AA18" i="2"/>
  <c r="C19" i="2"/>
  <c r="AA19" i="2"/>
  <c r="C20" i="2"/>
  <c r="AA20" i="2" s="1"/>
  <c r="C21" i="2"/>
  <c r="AA21" i="2"/>
  <c r="C22" i="2"/>
  <c r="P22" i="2"/>
  <c r="T22" i="2" s="1"/>
  <c r="M22" i="2"/>
  <c r="C23" i="2"/>
  <c r="P23" i="2" s="1"/>
  <c r="T23" i="2" s="1"/>
  <c r="AA23" i="2" s="1"/>
  <c r="M23" i="2"/>
  <c r="C24" i="2"/>
  <c r="AA24" i="2" s="1"/>
  <c r="P24" i="2"/>
  <c r="T24" i="2" s="1"/>
  <c r="M24" i="2"/>
  <c r="C25" i="2"/>
  <c r="E25" i="2"/>
  <c r="C26" i="2"/>
  <c r="AA26" i="2" s="1"/>
  <c r="P26" i="2"/>
  <c r="M26" i="2"/>
  <c r="C27" i="2"/>
  <c r="P27" i="2" s="1"/>
  <c r="T27" i="2" s="1"/>
  <c r="AA27" i="2" s="1"/>
  <c r="M27" i="2"/>
  <c r="C28" i="2"/>
  <c r="AA28" i="2" s="1"/>
  <c r="C29" i="2"/>
  <c r="P29" i="2"/>
  <c r="M29" i="2"/>
  <c r="C30" i="2"/>
  <c r="P30" i="2"/>
  <c r="T30" i="2" s="1"/>
  <c r="AA30" i="2" s="1"/>
  <c r="M30" i="2"/>
  <c r="C31" i="2"/>
  <c r="P31" i="2"/>
  <c r="M31" i="2"/>
  <c r="C32" i="2"/>
  <c r="P32" i="2"/>
  <c r="M32" i="2"/>
  <c r="C33" i="2"/>
  <c r="AA33" i="2"/>
  <c r="C34" i="2"/>
  <c r="AA34" i="2"/>
  <c r="AB34" i="2"/>
  <c r="C35" i="2"/>
  <c r="AA35" i="2" s="1"/>
  <c r="AB35" i="2" s="1"/>
  <c r="C36" i="2"/>
  <c r="AA36" i="2"/>
  <c r="AB36" i="2"/>
  <c r="C37" i="2"/>
  <c r="AB37" i="2" s="1"/>
  <c r="C38" i="2"/>
  <c r="AB38" i="2"/>
  <c r="C39" i="2"/>
  <c r="AA39" i="2" s="1"/>
  <c r="F39" i="2"/>
  <c r="M39" i="2" s="1"/>
  <c r="T39" i="2" s="1"/>
  <c r="G39" i="2"/>
  <c r="J39" i="2"/>
  <c r="C40" i="2"/>
  <c r="P40" i="2"/>
  <c r="M40" i="2"/>
  <c r="U40" i="2" s="1"/>
  <c r="N40" i="2"/>
  <c r="C41" i="2"/>
  <c r="S41" i="2"/>
  <c r="M41" i="2"/>
  <c r="N41" i="2"/>
  <c r="C42" i="2"/>
  <c r="Z42" i="2" s="1"/>
  <c r="R42" i="2"/>
  <c r="M42" i="2"/>
  <c r="N42" i="2"/>
  <c r="O42" i="2"/>
  <c r="C43" i="2"/>
  <c r="X43" i="2" s="1"/>
  <c r="AA43" i="2" s="1"/>
  <c r="AB43" i="2" s="1"/>
  <c r="Q43" i="2"/>
  <c r="M43" i="2"/>
  <c r="N43" i="2"/>
  <c r="O43" i="2"/>
  <c r="C44" i="2"/>
  <c r="X44" i="2"/>
  <c r="E44" i="2"/>
  <c r="S44" i="2" s="1"/>
  <c r="AA44" i="2" s="1"/>
  <c r="M44" i="2"/>
  <c r="N44" i="2"/>
  <c r="C45" i="2"/>
  <c r="P45" i="2" s="1"/>
  <c r="T45" i="2" s="1"/>
  <c r="E45" i="2"/>
  <c r="S45" i="2" s="1"/>
  <c r="AA45" i="2" s="1"/>
  <c r="M45" i="2"/>
  <c r="U45" i="2" s="1"/>
  <c r="N45" i="2"/>
  <c r="C46" i="2"/>
  <c r="AA46" i="2"/>
  <c r="C47" i="2"/>
  <c r="AA47" i="2"/>
  <c r="C48" i="2"/>
  <c r="AA48" i="2" s="1"/>
  <c r="C49" i="2"/>
  <c r="C50" i="2"/>
  <c r="AA50" i="2"/>
  <c r="C51" i="2"/>
  <c r="AA51" i="2"/>
  <c r="C52" i="2"/>
  <c r="Y52" i="2"/>
  <c r="M52" i="2"/>
  <c r="N52" i="2"/>
  <c r="C53" i="2"/>
  <c r="AA53" i="2"/>
  <c r="C54" i="2"/>
  <c r="C55" i="2"/>
  <c r="N55" i="2"/>
  <c r="C56" i="2"/>
  <c r="AA56" i="2"/>
  <c r="C57" i="2"/>
  <c r="P57" i="2" s="1"/>
  <c r="T57" i="2" s="1"/>
  <c r="M57" i="2"/>
  <c r="C58" i="2"/>
  <c r="Y58" i="2"/>
  <c r="M58" i="2"/>
  <c r="U58" i="2" s="1"/>
  <c r="N58" i="2"/>
  <c r="C59" i="2"/>
  <c r="AA59" i="2"/>
  <c r="C60" i="2"/>
  <c r="AB60" i="2"/>
  <c r="C61" i="2"/>
  <c r="D61" i="2"/>
  <c r="Q61" i="2" s="1"/>
  <c r="U61" i="2" s="1"/>
  <c r="M61" i="2"/>
  <c r="N61" i="2"/>
  <c r="C62" i="2"/>
  <c r="D62" i="2"/>
  <c r="S62" i="2"/>
  <c r="M62" i="2"/>
  <c r="N62" i="2"/>
  <c r="C63" i="2"/>
  <c r="AA63" i="2"/>
  <c r="C64" i="2"/>
  <c r="AA64" i="2"/>
  <c r="C65" i="2"/>
  <c r="AA65" i="2" s="1"/>
  <c r="C66" i="2"/>
  <c r="AA66" i="2"/>
  <c r="C67" i="2"/>
  <c r="AA67" i="2"/>
  <c r="C68" i="2"/>
  <c r="AB68" i="2" s="1"/>
  <c r="C69" i="2"/>
  <c r="AB69" i="2"/>
  <c r="C70" i="2"/>
  <c r="P70" i="2"/>
  <c r="M70" i="2"/>
  <c r="T70" i="2" s="1"/>
  <c r="C71" i="2"/>
  <c r="AA71" i="2"/>
  <c r="C72" i="2"/>
  <c r="AA72" i="2"/>
  <c r="C73" i="2"/>
  <c r="AA73" i="2"/>
  <c r="C74" i="2"/>
  <c r="AA74" i="2"/>
  <c r="C75" i="2"/>
  <c r="AA75" i="2"/>
  <c r="C76" i="2"/>
  <c r="AB76" i="2"/>
  <c r="C77" i="2"/>
  <c r="AB77" i="2"/>
  <c r="C78" i="2"/>
  <c r="AB78" i="2"/>
  <c r="C79" i="2"/>
  <c r="Q79" i="2" s="1"/>
  <c r="U79" i="2" s="1"/>
  <c r="P79" i="2"/>
  <c r="M79" i="2"/>
  <c r="N79" i="2"/>
  <c r="C80" i="2"/>
  <c r="AA80" i="2"/>
  <c r="C81" i="2"/>
  <c r="AA81" i="2" s="1"/>
  <c r="P81" i="2"/>
  <c r="M81" i="2"/>
  <c r="C82" i="2"/>
  <c r="P82" i="2"/>
  <c r="M82" i="2"/>
  <c r="C83" i="2"/>
  <c r="Y83" i="2" s="1"/>
  <c r="S83" i="2"/>
  <c r="M83" i="2"/>
  <c r="N83" i="2"/>
  <c r="C84" i="2"/>
  <c r="AB84" i="2" s="1"/>
  <c r="C85" i="2"/>
  <c r="AB85" i="2"/>
  <c r="C86" i="2"/>
  <c r="AB86" i="2"/>
  <c r="C87" i="2"/>
  <c r="AB87" i="2" s="1"/>
  <c r="C88" i="2"/>
  <c r="AB88" i="2"/>
  <c r="C89" i="2"/>
  <c r="R89" i="2"/>
  <c r="M89" i="2"/>
  <c r="N89" i="2"/>
  <c r="O89" i="2"/>
  <c r="V89" i="2" s="1"/>
  <c r="S89" i="2"/>
  <c r="C90" i="2"/>
  <c r="AA90" i="2"/>
  <c r="C91" i="2"/>
  <c r="AA91" i="2" s="1"/>
  <c r="C92" i="2"/>
  <c r="C96" i="2"/>
  <c r="S96" i="2" s="1"/>
  <c r="M96" i="2"/>
  <c r="N96" i="2"/>
  <c r="C97" i="2"/>
  <c r="AB97" i="2"/>
  <c r="C98" i="2"/>
  <c r="AA98" i="2" s="1"/>
  <c r="C99" i="2"/>
  <c r="AA99" i="2"/>
  <c r="C100" i="2"/>
  <c r="AA100" i="2"/>
  <c r="C101" i="2"/>
  <c r="AA101" i="2" s="1"/>
  <c r="C102" i="2"/>
  <c r="AA102" i="2"/>
  <c r="C103" i="2"/>
  <c r="P103" i="2"/>
  <c r="M103" i="2"/>
  <c r="C104" i="2"/>
  <c r="W104" i="2"/>
  <c r="M104" i="2"/>
  <c r="U104" i="2" s="1"/>
  <c r="N104" i="2"/>
  <c r="S104" i="2"/>
  <c r="C105" i="2"/>
  <c r="AB105" i="2" s="1"/>
  <c r="C106" i="2"/>
  <c r="P106" i="2"/>
  <c r="M106" i="2"/>
  <c r="C107" i="2"/>
  <c r="AA107" i="2"/>
  <c r="AB107" i="2" s="1"/>
  <c r="C108" i="2"/>
  <c r="AA108" i="2"/>
  <c r="C109" i="2"/>
  <c r="AB109" i="2"/>
  <c r="C110" i="2"/>
  <c r="AA110" i="2" s="1"/>
  <c r="C111" i="2"/>
  <c r="AA111" i="2"/>
  <c r="C112" i="2"/>
  <c r="AB112" i="2"/>
  <c r="C113" i="2"/>
  <c r="AA113" i="2" s="1"/>
  <c r="C114" i="2"/>
  <c r="AB114" i="2"/>
  <c r="C115" i="2"/>
  <c r="AB115" i="2"/>
  <c r="C116" i="2"/>
  <c r="AA116" i="2" s="1"/>
  <c r="C117" i="2"/>
  <c r="AA117" i="2"/>
  <c r="AB117" i="2" s="1"/>
  <c r="C118" i="2"/>
  <c r="AA118" i="2"/>
  <c r="AB118" i="2" s="1"/>
  <c r="C119" i="2"/>
  <c r="Q119" i="2"/>
  <c r="M119" i="2"/>
  <c r="N119" i="2"/>
  <c r="U119" i="2" s="1"/>
  <c r="C120" i="2"/>
  <c r="P120" i="2" s="1"/>
  <c r="M120" i="2"/>
  <c r="T120" i="2" s="1"/>
  <c r="N120" i="2"/>
  <c r="C121" i="2"/>
  <c r="P121" i="2"/>
  <c r="M121" i="2"/>
  <c r="T121" i="2" s="1"/>
  <c r="C122" i="2"/>
  <c r="AA122" i="2"/>
  <c r="C123" i="2"/>
  <c r="P123" i="2" s="1"/>
  <c r="T123" i="2" s="1"/>
  <c r="M123" i="2"/>
  <c r="C124" i="2"/>
  <c r="AA124" i="2" s="1"/>
  <c r="F124" i="2"/>
  <c r="C125" i="2"/>
  <c r="F125" i="2"/>
  <c r="AA125" i="2" s="1"/>
  <c r="C126" i="2"/>
  <c r="AB126" i="2"/>
  <c r="C127" i="2"/>
  <c r="AA127" i="2" s="1"/>
  <c r="C128" i="2"/>
  <c r="AA128" i="2"/>
  <c r="C129" i="2"/>
  <c r="AA129" i="2"/>
  <c r="C130" i="2"/>
  <c r="AA130" i="2" s="1"/>
  <c r="C131" i="2"/>
  <c r="AA131" i="2"/>
  <c r="W58" i="2"/>
  <c r="P44" i="2"/>
  <c r="T44" i="2"/>
  <c r="P43" i="2"/>
  <c r="T43" i="2" s="1"/>
  <c r="AB106" i="2"/>
  <c r="T81" i="2"/>
  <c r="Q58" i="2"/>
  <c r="T31" i="2"/>
  <c r="AA31" i="2"/>
  <c r="T26" i="2"/>
  <c r="AA123" i="2"/>
  <c r="W119" i="2"/>
  <c r="T82" i="2"/>
  <c r="AA82" i="2" s="1"/>
  <c r="P39" i="2"/>
  <c r="T106" i="2"/>
  <c r="Q104" i="2"/>
  <c r="AB70" i="2"/>
  <c r="X41" i="2"/>
  <c r="W40" i="2"/>
  <c r="P4" i="2"/>
  <c r="T4" i="2" s="1"/>
  <c r="Z4" i="2"/>
  <c r="P42" i="2"/>
  <c r="T42" i="2" s="1"/>
  <c r="Y104" i="2"/>
  <c r="S55" i="2"/>
  <c r="Q42" i="2"/>
  <c r="U42" i="2" s="1"/>
  <c r="X104" i="2"/>
  <c r="P104" i="2"/>
  <c r="T104" i="2" s="1"/>
  <c r="AA104" i="2" s="1"/>
  <c r="W62" i="2"/>
  <c r="M55" i="2"/>
  <c r="AA55" i="2"/>
  <c r="W52" i="2"/>
  <c r="Q40" i="2"/>
  <c r="T32" i="2"/>
  <c r="AA32" i="2"/>
  <c r="Y4" i="2"/>
  <c r="X89" i="2"/>
  <c r="AA6" i="2"/>
  <c r="AB6" i="2"/>
  <c r="W44" i="2"/>
  <c r="Q41" i="2"/>
  <c r="U41" i="2"/>
  <c r="Y40" i="2"/>
  <c r="P89" i="2"/>
  <c r="T89" i="2"/>
  <c r="AA121" i="2"/>
  <c r="Y120" i="2"/>
  <c r="T103" i="2"/>
  <c r="AA103" i="2" s="1"/>
  <c r="S79" i="2"/>
  <c r="T79" i="2"/>
  <c r="Y62" i="2"/>
  <c r="Q52" i="2"/>
  <c r="U52" i="2"/>
  <c r="Q44" i="2"/>
  <c r="U44" i="2"/>
  <c r="W41" i="2"/>
  <c r="AA41" i="2"/>
  <c r="P41" i="2"/>
  <c r="T41" i="2"/>
  <c r="S40" i="2"/>
  <c r="T40" i="2"/>
  <c r="AA7" i="2"/>
  <c r="X4" i="2"/>
  <c r="J25" i="2"/>
  <c r="AA8" i="2"/>
  <c r="R4" i="2"/>
  <c r="AB122" i="2"/>
  <c r="Q120" i="2"/>
  <c r="U120" i="2"/>
  <c r="Q96" i="2"/>
  <c r="U96" i="2" s="1"/>
  <c r="W79" i="2"/>
  <c r="Q62" i="2"/>
  <c r="U62" i="2"/>
  <c r="Y44" i="2"/>
  <c r="Y41" i="2"/>
  <c r="X40" i="2"/>
  <c r="G25" i="2"/>
  <c r="Q4" i="2"/>
  <c r="U4" i="2" s="1"/>
  <c r="AA57" i="2"/>
  <c r="V42" i="2"/>
  <c r="S119" i="2"/>
  <c r="X119" i="2"/>
  <c r="P119" i="2"/>
  <c r="T119" i="2"/>
  <c r="AA5" i="2"/>
  <c r="AB5" i="2" s="1"/>
  <c r="Y61" i="2"/>
  <c r="P61" i="2"/>
  <c r="T61" i="2"/>
  <c r="U43" i="2"/>
  <c r="Y119" i="2"/>
  <c r="T29" i="2"/>
  <c r="AA29" i="2" s="1"/>
  <c r="P96" i="2"/>
  <c r="T96" i="2"/>
  <c r="Y89" i="2"/>
  <c r="Q89" i="2"/>
  <c r="U89" i="2"/>
  <c r="P62" i="2"/>
  <c r="T62" i="2"/>
  <c r="X58" i="2"/>
  <c r="S58" i="2"/>
  <c r="X52" i="2"/>
  <c r="S52" i="2"/>
  <c r="W45" i="2"/>
  <c r="Q45" i="2"/>
  <c r="W43" i="2"/>
  <c r="S43" i="2"/>
  <c r="F25" i="2"/>
  <c r="M25" i="2" s="1"/>
  <c r="AA25" i="2" s="1"/>
  <c r="W89" i="2"/>
  <c r="X62" i="2"/>
  <c r="P58" i="2"/>
  <c r="T58" i="2"/>
  <c r="P52" i="2"/>
  <c r="T52" i="2"/>
  <c r="Y45" i="2"/>
  <c r="Y43" i="2"/>
  <c r="Z89" i="2"/>
  <c r="X45" i="2"/>
  <c r="AB62" i="2"/>
  <c r="AA40" i="2"/>
  <c r="AA52" i="2"/>
  <c r="AB119" i="2"/>
  <c r="AB89" i="2"/>
  <c r="AA79" i="2"/>
  <c r="AB79" i="2" s="1"/>
  <c r="AB58" i="2"/>
  <c r="C5" i="1"/>
  <c r="B9" i="1" a="1"/>
  <c r="B9" i="1" s="1"/>
  <c r="C9" i="1" a="1"/>
  <c r="C9" i="1" s="1"/>
  <c r="AA22" i="2" l="1"/>
  <c r="AB4" i="2"/>
  <c r="X83" i="2"/>
  <c r="P83" i="2"/>
  <c r="T83" i="2" s="1"/>
  <c r="W61" i="2"/>
  <c r="AB61" i="2" s="1"/>
  <c r="X61" i="2"/>
  <c r="R43" i="2"/>
  <c r="V43" i="2" s="1"/>
  <c r="AA15" i="2"/>
  <c r="Y79" i="2"/>
  <c r="Y42" i="2"/>
  <c r="W83" i="2"/>
  <c r="AB83" i="2" s="1"/>
  <c r="X42" i="2"/>
  <c r="S61" i="2"/>
  <c r="S120" i="2"/>
  <c r="Z43" i="2"/>
  <c r="Q83" i="2"/>
  <c r="U83" i="2" s="1"/>
  <c r="X79" i="2"/>
  <c r="AB116" i="2"/>
  <c r="X96" i="2"/>
  <c r="X120" i="2"/>
  <c r="Y96" i="2"/>
  <c r="S42" i="2"/>
  <c r="W42" i="2"/>
  <c r="AA42" i="2" s="1"/>
  <c r="AB42" i="2" s="1"/>
  <c r="W96" i="2"/>
  <c r="W120" i="2"/>
  <c r="AB120" i="2" s="1"/>
  <c r="AA17" i="2"/>
  <c r="AA96" i="2" l="1"/>
</calcChain>
</file>

<file path=xl/sharedStrings.xml><?xml version="1.0" encoding="utf-8"?>
<sst xmlns="http://schemas.openxmlformats.org/spreadsheetml/2006/main" count="207" uniqueCount="167">
  <si>
    <t>Water Rates Calculator</t>
  </si>
  <si>
    <t>Select water company name from drop-down list.</t>
  </si>
  <si>
    <t>York Water Company (5/8")</t>
  </si>
  <si>
    <t xml:space="preserve">Fill in number of gallons per month: </t>
  </si>
  <si>
    <t>Gallons per Quarter (fills in automatically)</t>
  </si>
  <si>
    <t>Total Bill (Monthly)</t>
  </si>
  <si>
    <t>Total Bill (Quarterly)</t>
  </si>
  <si>
    <t xml:space="preserve">Directions: </t>
  </si>
  <si>
    <t xml:space="preserve">1. Select your water company's name from the drop-down list. If your water company is listed more than once, select the appropriate meter size (5/8" or 3/4"). </t>
  </si>
  <si>
    <t>Notes:</t>
  </si>
  <si>
    <t xml:space="preserve">*Company measures usage in cubic feet. The price shown reflects a conversion to gallons. If your bill shows usage in cubic feet, convert the number of cubic feet to gallons by multiplying the number of cubic feet by 7.48052. </t>
  </si>
  <si>
    <t xml:space="preserve">2. Fill in the number of gallons used per month. If you are billed quarterly, divide your quarterly usage by 3. </t>
  </si>
  <si>
    <t xml:space="preserve">**Rate for unmetered service. Bill is a flat rate regardless of the number of gallons used. </t>
  </si>
  <si>
    <t xml:space="preserve">***Company bills bi-monthly. Monthly rate shown is the bi-monthly charge divided by two. </t>
  </si>
  <si>
    <t xml:space="preserve">Rates shown do not include state tax adjustment surcharges (STAS), distribution system improvement charges (DSIC) or purchased water adjustments. Please contact the OCA for questions about the rates shown in this calculator. </t>
  </si>
  <si>
    <t xml:space="preserve">Not all PA water companies are included in this calculator. Companies not included will be added in the future. If your company is not listed, please contact the OCA for assistance with calculating a utility bill. </t>
  </si>
  <si>
    <r>
      <t xml:space="preserve">Rates shown for municipalities (cities, boroughs, etc.) are rates for customers under PUC jurisdiction; which generally includes customers who live </t>
    </r>
    <r>
      <rPr>
        <i/>
        <sz val="11"/>
        <color theme="1"/>
        <rFont val="Arial"/>
        <family val="2"/>
      </rPr>
      <t>outside</t>
    </r>
    <r>
      <rPr>
        <sz val="11"/>
        <color theme="1"/>
        <rFont val="Arial"/>
        <family val="2"/>
      </rPr>
      <t xml:space="preserve"> of the munipal boundaries. </t>
    </r>
  </si>
  <si>
    <t>Cust. Charge</t>
  </si>
  <si>
    <t>Vol. Charge - 1</t>
  </si>
  <si>
    <t>Vol. Charge - 2</t>
  </si>
  <si>
    <t>Vol. Charge - 3</t>
  </si>
  <si>
    <t>Vol. Charge - 4</t>
  </si>
  <si>
    <t>Block 1</t>
  </si>
  <si>
    <t>Block 2</t>
  </si>
  <si>
    <t>Block 3</t>
  </si>
  <si>
    <t>Cost of Full First Block</t>
  </si>
  <si>
    <t>Cost of Full Second Block</t>
  </si>
  <si>
    <t>Cost of Full Third Block</t>
  </si>
  <si>
    <t>Cost of Partial 2nd Block</t>
  </si>
  <si>
    <t>Cost of Partial 3rd Block</t>
  </si>
  <si>
    <t>Cost of Partial 4th Block</t>
  </si>
  <si>
    <t>Cost if only first Block</t>
  </si>
  <si>
    <t>Cost when Gallonage Exceeds 1st Block</t>
  </si>
  <si>
    <t>Cost when Gallonage Exceeds 2nd Block</t>
  </si>
  <si>
    <t>Cost when Gallonage Exceeds 3rd Block</t>
  </si>
  <si>
    <t xml:space="preserve">Utility </t>
  </si>
  <si>
    <t>Updated</t>
  </si>
  <si>
    <t>Usage</t>
  </si>
  <si>
    <t>Acorn Water Company</t>
  </si>
  <si>
    <t>Ambler, Borough of (3/4")</t>
  </si>
  <si>
    <t>Ambler, Borough of (5/8")</t>
  </si>
  <si>
    <t>Appalachian Utilities, Inc. (3/4")***</t>
  </si>
  <si>
    <t>Added 3/14/16</t>
  </si>
  <si>
    <t>Appalachian Utilities, Inc. (5/8")***</t>
  </si>
  <si>
    <t>Aqua PA - Bensalem Division (3/4")</t>
  </si>
  <si>
    <t>Aqua PA - Bensalem Division (5/8")</t>
  </si>
  <si>
    <t>Aqua PA - Chalfont Division</t>
  </si>
  <si>
    <t>Aqua PA - Clarendon Water Division (3/4")</t>
  </si>
  <si>
    <t>Aqua PA - Clarendon Water Division (5/8")</t>
  </si>
  <si>
    <t>Aqua PA - Country Club Gardens Division</t>
  </si>
  <si>
    <t>Aqua PA - CS Water Division</t>
  </si>
  <si>
    <t>Aqua PA - Eagle Rock Division</t>
  </si>
  <si>
    <t>Aqua PA - Fawn Lake Division</t>
  </si>
  <si>
    <t>Aqua PA - Honesdale Division (5/8")</t>
  </si>
  <si>
    <t>Aqua PA - Honesdale Division(3/4")</t>
  </si>
  <si>
    <t>Aqua PA - Kratzerville Division (3/4")</t>
  </si>
  <si>
    <t>Aqua PA - Kratzerville Division (5/8")</t>
  </si>
  <si>
    <t>Aqua PA - Lakeside Acres Division</t>
  </si>
  <si>
    <t>Aqua PA - Main Division (3/4")</t>
  </si>
  <si>
    <t>Aqua PA - Main Division (5/8")</t>
  </si>
  <si>
    <t>Aqua PA - Mifflin Township Division</t>
  </si>
  <si>
    <t>Aqua PA - Oakland Beach Division</t>
  </si>
  <si>
    <t>Aqua PA - Pinecrest Division</t>
  </si>
  <si>
    <t>Aqua PA - Sand Springs Division</t>
  </si>
  <si>
    <t>Aqua PA - Tanglewood Divison</t>
  </si>
  <si>
    <t>Aqua PA - Thornhurst Division</t>
  </si>
  <si>
    <t xml:space="preserve">Aqua PA - Western Division </t>
  </si>
  <si>
    <t>Aqua PA - Woodledge Division</t>
  </si>
  <si>
    <t>Artesian Water Pennsylvania</t>
  </si>
  <si>
    <t>Audubon Water Company</t>
  </si>
  <si>
    <t>Bethlehem, City of (3/4")</t>
  </si>
  <si>
    <t>Bethlehem, City of (5/8")</t>
  </si>
  <si>
    <t>Blue Knob Water Company</t>
  </si>
  <si>
    <t>Buck Hill Water Company (3/4 inch or less)</t>
  </si>
  <si>
    <t>Chambersburg, Borough of (5/8" or 3/4")</t>
  </si>
  <si>
    <t>Clarendon Water Company (3/4")</t>
  </si>
  <si>
    <t>Clarendon Water Company (5/8")</t>
  </si>
  <si>
    <t>Columbia Water Company - Marietta Division (3/4")</t>
  </si>
  <si>
    <t>Columbia Water Company - Marietta Division (5/8")</t>
  </si>
  <si>
    <t>Columbia Water Company (3/4")</t>
  </si>
  <si>
    <t>Columbia Water Company (5/8")</t>
  </si>
  <si>
    <t>Community Utilities of Pennsylvania - Penn Estates Division</t>
  </si>
  <si>
    <t>Community Utilities of Pennsylvania - Westgate Division (3/4")</t>
  </si>
  <si>
    <t>Community Utilities of Pennsylvania - Westgate Division (5/8")</t>
  </si>
  <si>
    <t>Conneaut Lake Park, Inc.**</t>
  </si>
  <si>
    <t>Cooperstown Water Company (3/4")</t>
  </si>
  <si>
    <t>Cooperstown Water Company (5/8")</t>
  </si>
  <si>
    <t xml:space="preserve">Corner Water Supply &amp; Service Corp. </t>
  </si>
  <si>
    <t>David and Diane Miller's Water Company</t>
  </si>
  <si>
    <t>Deer Haven Water Company**</t>
  </si>
  <si>
    <t>Doylestown, Borough of</t>
  </si>
  <si>
    <t>D's Water Company (3/4")</t>
  </si>
  <si>
    <t>Dubois, City of</t>
  </si>
  <si>
    <t>Duncannon, Borough of</t>
  </si>
  <si>
    <t>Eaton Sewer &amp; Water Co., Inc.</t>
  </si>
  <si>
    <t>Elverson Water Company (3/4")</t>
  </si>
  <si>
    <t>Emporium Water Company (3/4")*</t>
  </si>
  <si>
    <t>Emporium Water Company (5/8")*</t>
  </si>
  <si>
    <t xml:space="preserve">Fairchance, Borough of </t>
  </si>
  <si>
    <t>Finch Hill Water Company, Inc**</t>
  </si>
  <si>
    <t>Fryburg Water Company (3/4")</t>
  </si>
  <si>
    <t>Fryburg Water Company (5/8")</t>
  </si>
  <si>
    <t>Garrett, Borough of**</t>
  </si>
  <si>
    <t>Hanover Municipal Water Works (3/4")</t>
  </si>
  <si>
    <t>Hanover Municipal Water Works (5/8")</t>
  </si>
  <si>
    <t>Hidden Valley Utility Services</t>
  </si>
  <si>
    <t>Hotel Capri  Inc.**</t>
  </si>
  <si>
    <t>Houston Run Community Water System (3/4")</t>
  </si>
  <si>
    <t>Houston Run Community Water System (5/8")</t>
  </si>
  <si>
    <t>Hyndman Borough Water Company</t>
  </si>
  <si>
    <t>Hyndman Borough Water Company (unmetered)</t>
  </si>
  <si>
    <t>Imperial Point Water Service Company (3/4")</t>
  </si>
  <si>
    <t>Ken Man Water Company</t>
  </si>
  <si>
    <t>Kensington Water Company</t>
  </si>
  <si>
    <t>Added 3/15/16</t>
  </si>
  <si>
    <t>Lancaster Water, City of</t>
  </si>
  <si>
    <t>Lewis Run Water Supply Company**</t>
  </si>
  <si>
    <t xml:space="preserve">Manwalamink Water Company </t>
  </si>
  <si>
    <t>McCormick Water Company</t>
  </si>
  <si>
    <t>Meribah Water Company</t>
  </si>
  <si>
    <t>Needmore Water Supply Company</t>
  </si>
  <si>
    <t>Newtown Artesian Water Company: Indian Rock Rate Area (3/4")</t>
  </si>
  <si>
    <t>Newtown Artesian Water Company: Indian Rock Rate Area (5/8")</t>
  </si>
  <si>
    <t>Newtown Artesian Water Company: Newtown Artesian Rate Area (3/4")</t>
  </si>
  <si>
    <t>Newtown Artesian Water Company: Newtown Artesian Rate Area (5/8")</t>
  </si>
  <si>
    <t>Orchard Hills Water System/ Vantage Hills Development</t>
  </si>
  <si>
    <t>Oregon Hill Water and Sewer Company, Inc.**</t>
  </si>
  <si>
    <t>PAWC Zone 1 (5/8")</t>
  </si>
  <si>
    <t>PAWC Zone 1 (unmetered)**</t>
  </si>
  <si>
    <t>PAWC Zone 2 (5/8") - All Except Nittany</t>
  </si>
  <si>
    <t>PAWC Zone 2 (5/8") - Nittany Service Territory</t>
  </si>
  <si>
    <t>PAWC Zone 3 (5/8")</t>
  </si>
  <si>
    <t>Pennsview Water Company</t>
  </si>
  <si>
    <t>Pennsylvania Utility Company</t>
  </si>
  <si>
    <t>Plumer Water Company (3/4")</t>
  </si>
  <si>
    <t>Plumer Water Company (5/8")</t>
  </si>
  <si>
    <t>Pocono Waterworks Company, Inc.</t>
  </si>
  <si>
    <t>Pocono Waterworks Company, Inc. - Pine Grove Estates Division</t>
  </si>
  <si>
    <t>Pocono Waterworks Company, Inc. - Pine Grove Estates Division (unmetered)**</t>
  </si>
  <si>
    <t>Point Marion, Borough of</t>
  </si>
  <si>
    <t xml:space="preserve">Quakertown, Borough of </t>
  </si>
  <si>
    <t>Quentin Water Company (5/8" &amp; 3/4")</t>
  </si>
  <si>
    <t>Rock Spring Water Company</t>
  </si>
  <si>
    <t>Schoolhouse Village</t>
  </si>
  <si>
    <t>Schuylkill Haven, Borough of</t>
  </si>
  <si>
    <t>Scott Water Company**</t>
  </si>
  <si>
    <t>Sugarcreek Water Company (5/8" &amp; 3/4")</t>
  </si>
  <si>
    <t>Superior Water Company (5/8" &amp; 3/4")</t>
  </si>
  <si>
    <t>Templeton Water Company**</t>
  </si>
  <si>
    <t>Total Environmental Solutions, Inc</t>
  </si>
  <si>
    <t>Township of Falls (3/4")</t>
  </si>
  <si>
    <t>Township of Falls (5/8")</t>
  </si>
  <si>
    <t>Tri-Valley Water Supply, Inc (5/8")</t>
  </si>
  <si>
    <t>Twin Lakes Utilities (3/4")</t>
  </si>
  <si>
    <t>Twin Lakes Utilities (5/8")</t>
  </si>
  <si>
    <t>United Water Bethel (3/4")</t>
  </si>
  <si>
    <t>United Water Bethel (5/8")</t>
  </si>
  <si>
    <t>United Water Pennsylvania</t>
  </si>
  <si>
    <t>Valley Run Water Company, Inc. (5/8" &amp; 3/4")</t>
  </si>
  <si>
    <t>Valley View Water Company, Inc.</t>
  </si>
  <si>
    <t>Venango Water Company (3/4")</t>
  </si>
  <si>
    <t>Venango Water Company (5/8")</t>
  </si>
  <si>
    <t>Waterflow Pike, Inc.**</t>
  </si>
  <si>
    <t>West Hickory Water Company (3/4")</t>
  </si>
  <si>
    <t>West Hickory Water Company (5/8")</t>
  </si>
  <si>
    <t>Wonderview Water Company</t>
  </si>
  <si>
    <t>York Water Company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</si>
</sst>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0_);_(* \(#,##0.0000\);_(* &quot;-&quot;??_);_(@_)"/>
    <numFmt numFmtId="166"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
      <color theme="1"/>
      <name val="Arial"/>
      <family val="2"/>
    </font>
    <font>
      <sz val="14"/>
      <color theme="1"/>
      <name val="Arial"/>
      <family val="2"/>
    </font>
    <font>
      <i/>
      <sz val="11"/>
      <color theme="1"/>
      <name val="Arial"/>
      <family val="2"/>
    </font>
    <font>
      <i/>
      <sz val="12"/>
      <name val="Arial"/>
      <family val="2"/>
    </font>
    <font>
      <sz val="11"/>
      <name val="Calibri"/>
      <family val="2"/>
      <scheme val="minor"/>
    </font>
    <font>
      <i/>
      <sz val="12"/>
      <color theme="1"/>
      <name val="Arial"/>
      <family val="2"/>
    </font>
    <font>
      <b/>
      <sz val="11"/>
      <color theme="1"/>
      <name val="Arial"/>
      <family val="2"/>
    </font>
  </fonts>
  <fills count="9">
    <fill>
      <patternFill patternType="none"/>
    </fill>
    <fill>
      <patternFill patternType="gray125"/>
    </fill>
    <fill>
      <patternFill patternType="solid">
        <fgColor rgb="FFCCFFCC"/>
        <bgColor indexed="64"/>
      </patternFill>
    </fill>
    <fill>
      <patternFill patternType="solid">
        <fgColor rgb="FFFF66FF"/>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99CC"/>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0" fillId="0" borderId="0" xfId="0" applyProtection="1">
      <protection hidden="1"/>
    </xf>
    <xf numFmtId="164" fontId="0" fillId="0" borderId="0" xfId="1" applyNumberFormat="1" applyFont="1" applyProtection="1">
      <protection hidden="1"/>
    </xf>
    <xf numFmtId="43" fontId="0" fillId="0" borderId="0" xfId="1" applyFont="1" applyProtection="1">
      <protection hidden="1"/>
    </xf>
    <xf numFmtId="0" fontId="4" fillId="0" borderId="0" xfId="0" applyFont="1" applyProtection="1">
      <protection hidden="1"/>
    </xf>
    <xf numFmtId="0" fontId="2" fillId="0" borderId="0" xfId="0" applyFont="1" applyProtection="1">
      <protection hidden="1"/>
    </xf>
    <xf numFmtId="164" fontId="2" fillId="0" borderId="0" xfId="1" applyNumberFormat="1" applyFont="1" applyProtection="1">
      <protection hidden="1"/>
    </xf>
    <xf numFmtId="0" fontId="9" fillId="0" borderId="9" xfId="0" applyFont="1" applyBorder="1" applyAlignment="1" applyProtection="1">
      <alignment horizontal="center"/>
      <protection hidden="1"/>
    </xf>
    <xf numFmtId="14" fontId="0" fillId="0" borderId="0" xfId="0" applyNumberFormat="1" applyProtection="1">
      <protection hidden="1"/>
    </xf>
    <xf numFmtId="165" fontId="0" fillId="0" borderId="0" xfId="1" applyNumberFormat="1" applyFont="1" applyProtection="1">
      <protection hidden="1"/>
    </xf>
    <xf numFmtId="3" fontId="5" fillId="7" borderId="9" xfId="0" applyNumberFormat="1" applyFont="1" applyFill="1" applyBorder="1" applyAlignment="1" applyProtection="1">
      <alignment horizontal="center"/>
      <protection locked="0" hidden="1"/>
    </xf>
    <xf numFmtId="164" fontId="5" fillId="0" borderId="9" xfId="0" applyNumberFormat="1" applyFont="1" applyBorder="1" applyProtection="1">
      <protection hidden="1"/>
    </xf>
    <xf numFmtId="0" fontId="0" fillId="4" borderId="0" xfId="0" applyFill="1" applyProtection="1">
      <protection hidden="1"/>
    </xf>
    <xf numFmtId="0" fontId="3" fillId="7" borderId="0" xfId="0" applyFont="1" applyFill="1" applyProtection="1">
      <protection hidden="1"/>
    </xf>
    <xf numFmtId="0" fontId="5" fillId="7" borderId="0" xfId="0" applyFont="1" applyFill="1" applyAlignment="1" applyProtection="1">
      <alignment wrapText="1"/>
      <protection hidden="1"/>
    </xf>
    <xf numFmtId="0" fontId="0" fillId="7" borderId="0" xfId="0" applyFill="1" applyProtection="1">
      <protection hidden="1"/>
    </xf>
    <xf numFmtId="43" fontId="5" fillId="0" borderId="9" xfId="1" applyFont="1" applyBorder="1" applyProtection="1">
      <protection hidden="1"/>
    </xf>
    <xf numFmtId="0" fontId="10" fillId="0" borderId="0" xfId="0" applyFont="1" applyProtection="1">
      <protection hidden="1"/>
    </xf>
    <xf numFmtId="43" fontId="0" fillId="7" borderId="0" xfId="1" applyFont="1" applyFill="1" applyProtection="1">
      <protection hidden="1"/>
    </xf>
    <xf numFmtId="0" fontId="4" fillId="0" borderId="0" xfId="0" applyFont="1" applyAlignment="1" applyProtection="1">
      <alignment wrapText="1"/>
      <protection hidden="1"/>
    </xf>
    <xf numFmtId="0" fontId="5" fillId="0" borderId="0" xfId="0" applyFont="1" applyAlignment="1" applyProtection="1">
      <alignment wrapText="1"/>
      <protection hidden="1"/>
    </xf>
    <xf numFmtId="166" fontId="0" fillId="0" borderId="0" xfId="1" applyNumberFormat="1" applyFont="1" applyProtection="1">
      <protection hidden="1"/>
    </xf>
    <xf numFmtId="0" fontId="0" fillId="3" borderId="0" xfId="0" applyFill="1" applyProtection="1">
      <protection hidden="1"/>
    </xf>
    <xf numFmtId="43" fontId="8" fillId="0" borderId="0" xfId="1" applyFont="1" applyProtection="1">
      <protection hidden="1"/>
    </xf>
    <xf numFmtId="14" fontId="0" fillId="0" borderId="0" xfId="1" applyNumberFormat="1" applyFont="1" applyProtection="1">
      <protection hidden="1"/>
    </xf>
    <xf numFmtId="43" fontId="0" fillId="2" borderId="0" xfId="1" applyFont="1" applyFill="1" applyProtection="1">
      <protection hidden="1"/>
    </xf>
    <xf numFmtId="43" fontId="0" fillId="0" borderId="0" xfId="0" applyNumberFormat="1" applyProtection="1">
      <protection hidden="1"/>
    </xf>
    <xf numFmtId="14" fontId="0" fillId="5" borderId="0" xfId="0" applyNumberFormat="1" applyFill="1" applyProtection="1">
      <protection hidden="1"/>
    </xf>
    <xf numFmtId="0" fontId="0" fillId="0" borderId="0" xfId="0" applyAlignment="1" applyProtection="1">
      <alignment horizontal="left"/>
      <protection hidden="1"/>
    </xf>
    <xf numFmtId="14" fontId="0" fillId="6" borderId="0" xfId="0" applyNumberFormat="1" applyFill="1" applyProtection="1">
      <protection hidden="1"/>
    </xf>
    <xf numFmtId="43" fontId="0" fillId="0" borderId="0" xfId="1" applyFont="1" applyAlignment="1" applyProtection="1">
      <alignment horizontal="left"/>
      <protection hidden="1"/>
    </xf>
    <xf numFmtId="14" fontId="0" fillId="7" borderId="0" xfId="0" applyNumberFormat="1" applyFill="1" applyProtection="1">
      <protection hidden="1"/>
    </xf>
    <xf numFmtId="0" fontId="0" fillId="8" borderId="0" xfId="0" applyFill="1" applyProtection="1">
      <protection hidden="1"/>
    </xf>
    <xf numFmtId="164" fontId="2" fillId="0" borderId="0" xfId="1" applyNumberFormat="1" applyFont="1" applyAlignment="1" applyProtection="1">
      <alignment horizontal="center" wrapText="1"/>
      <protection hidden="1"/>
    </xf>
    <xf numFmtId="43" fontId="2" fillId="0" borderId="0" xfId="1" applyFont="1" applyAlignment="1" applyProtection="1">
      <alignment horizontal="center" wrapText="1"/>
      <protection hidden="1"/>
    </xf>
    <xf numFmtId="0" fontId="5" fillId="7" borderId="0" xfId="0" applyFont="1" applyFill="1" applyAlignment="1" applyProtection="1">
      <alignment horizontal="left" wrapText="1"/>
      <protection hidden="1"/>
    </xf>
    <xf numFmtId="0" fontId="4" fillId="0" borderId="0" xfId="0" applyFont="1" applyAlignment="1" applyProtection="1">
      <alignment horizontal="left" wrapText="1"/>
      <protection hidden="1"/>
    </xf>
    <xf numFmtId="0" fontId="3" fillId="0" borderId="2" xfId="0" applyFont="1" applyBorder="1" applyAlignment="1" applyProtection="1">
      <alignment horizontal="center" wrapText="1"/>
      <protection hidden="1"/>
    </xf>
    <xf numFmtId="0" fontId="3" fillId="0" borderId="1" xfId="0" applyFont="1" applyBorder="1" applyAlignment="1" applyProtection="1">
      <alignment horizontal="center" wrapText="1"/>
      <protection hidden="1"/>
    </xf>
    <xf numFmtId="0" fontId="5" fillId="7" borderId="7" xfId="0" applyFont="1" applyFill="1" applyBorder="1" applyAlignment="1" applyProtection="1">
      <alignment horizontal="center"/>
      <protection locked="0" hidden="1"/>
    </xf>
    <xf numFmtId="0" fontId="5" fillId="7" borderId="8" xfId="0" applyFont="1" applyFill="1" applyBorder="1" applyAlignment="1" applyProtection="1">
      <alignment horizontal="center"/>
      <protection locked="0" hidden="1"/>
    </xf>
    <xf numFmtId="0" fontId="3" fillId="0" borderId="5"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Alignment="1" applyProtection="1">
      <alignment horizontal="left"/>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center" wrapText="1"/>
      <protection hidden="1"/>
    </xf>
    <xf numFmtId="164" fontId="2" fillId="0" borderId="0" xfId="1" applyNumberFormat="1" applyFont="1" applyAlignment="1" applyProtection="1">
      <alignment horizontal="center" wrapText="1"/>
      <protection hidden="1"/>
    </xf>
    <xf numFmtId="43" fontId="2" fillId="0" borderId="0" xfId="1" applyFont="1" applyAlignment="1" applyProtection="1">
      <alignment horizontal="center" wrapText="1"/>
      <protection hidden="1"/>
    </xf>
    <xf numFmtId="0" fontId="2" fillId="0" borderId="0" xfId="0" applyFont="1" applyAlignment="1" applyProtection="1">
      <alignment horizont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FF99CC"/>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showGridLines="0" tabSelected="1" zoomScaleNormal="100" workbookViewId="0">
      <pane ySplit="3" topLeftCell="A4" activePane="bottomLeft" state="frozen"/>
      <selection pane="bottomLeft" activeCell="H23" sqref="H23"/>
    </sheetView>
  </sheetViews>
  <sheetFormatPr defaultRowHeight="15" x14ac:dyDescent="0.25"/>
  <cols>
    <col min="1" max="1" width="10.5703125" style="3" customWidth="1"/>
    <col min="2" max="3" width="44.7109375" style="1" customWidth="1"/>
    <col min="4" max="11" width="9.140625" style="1" customWidth="1"/>
    <col min="12" max="16384" width="9.140625" style="1"/>
  </cols>
  <sheetData>
    <row r="1" spans="1:9" ht="18.75" customHeight="1" x14ac:dyDescent="0.25">
      <c r="B1" s="41" t="s">
        <v>0</v>
      </c>
      <c r="C1" s="42"/>
      <c r="D1" s="4"/>
      <c r="E1" s="4"/>
      <c r="F1" s="4"/>
      <c r="G1" s="4"/>
    </row>
    <row r="2" spans="1:9" ht="18.75" customHeight="1" x14ac:dyDescent="0.25">
      <c r="A2" s="34"/>
      <c r="B2" s="44" t="s">
        <v>1</v>
      </c>
      <c r="C2" s="45"/>
      <c r="D2" s="4"/>
      <c r="E2" s="4"/>
      <c r="F2" s="4"/>
      <c r="G2" s="4"/>
    </row>
    <row r="3" spans="1:9" ht="18" x14ac:dyDescent="0.25">
      <c r="A3" s="34"/>
      <c r="B3" s="39" t="s">
        <v>2</v>
      </c>
      <c r="C3" s="40"/>
      <c r="D3" s="4"/>
      <c r="E3" s="4"/>
      <c r="F3" s="4"/>
      <c r="G3" s="4"/>
    </row>
    <row r="4" spans="1:9" ht="15.75" x14ac:dyDescent="0.25">
      <c r="A4" s="1"/>
      <c r="B4" s="7" t="s">
        <v>3</v>
      </c>
      <c r="C4" s="7" t="s">
        <v>4</v>
      </c>
      <c r="D4" s="4"/>
      <c r="E4" s="4"/>
      <c r="F4" s="4"/>
      <c r="G4" s="4"/>
    </row>
    <row r="5" spans="1:9" ht="18" x14ac:dyDescent="0.25">
      <c r="A5" s="1"/>
      <c r="B5" s="10">
        <v>6000</v>
      </c>
      <c r="C5" s="11">
        <f>B5*3</f>
        <v>18000</v>
      </c>
      <c r="E5" s="4"/>
    </row>
    <row r="6" spans="1:9" x14ac:dyDescent="0.25">
      <c r="A6" s="1"/>
      <c r="B6" s="4"/>
      <c r="C6" s="4"/>
      <c r="E6" s="4"/>
    </row>
    <row r="7" spans="1:9" ht="15" customHeight="1" x14ac:dyDescent="0.25">
      <c r="B7" s="37" t="s">
        <v>5</v>
      </c>
      <c r="C7" s="37" t="s">
        <v>6</v>
      </c>
      <c r="D7" s="4"/>
      <c r="E7" s="13" t="s">
        <v>7</v>
      </c>
      <c r="F7" s="14"/>
      <c r="G7" s="14"/>
      <c r="H7" s="15"/>
    </row>
    <row r="8" spans="1:9" ht="15" customHeight="1" x14ac:dyDescent="0.25">
      <c r="B8" s="38"/>
      <c r="C8" s="38"/>
      <c r="D8" s="4"/>
      <c r="E8" s="35" t="s">
        <v>8</v>
      </c>
      <c r="F8" s="35"/>
      <c r="G8" s="35"/>
      <c r="H8" s="35"/>
    </row>
    <row r="9" spans="1:9" ht="18.75" customHeight="1" x14ac:dyDescent="0.25">
      <c r="B9" s="16">
        <f t="array" ref="B9">INDEX(Inputs!$AA$4:$AA$131,MATCH($B$3&amp;B5,Inputs!$A$4:$A$131&amp;Inputs!$C$4:$C$131,0))</f>
        <v>42.61</v>
      </c>
      <c r="C9" s="16">
        <f t="array" ref="C9">INDEX(Inputs!$AB$4:$AB$131,MATCH($B$3&amp;B5,Inputs!$A$4:$A$131&amp;Inputs!$C$4:$C$131,0))</f>
        <v>0</v>
      </c>
      <c r="D9" s="4"/>
      <c r="E9" s="35"/>
      <c r="F9" s="35"/>
      <c r="G9" s="35"/>
      <c r="H9" s="35"/>
    </row>
    <row r="10" spans="1:9" ht="18.75" customHeight="1" x14ac:dyDescent="0.25">
      <c r="B10" s="4"/>
      <c r="C10" s="4"/>
      <c r="D10" s="4"/>
      <c r="E10" s="35"/>
      <c r="F10" s="35"/>
      <c r="G10" s="35"/>
      <c r="H10" s="35"/>
    </row>
    <row r="11" spans="1:9" ht="15" customHeight="1" x14ac:dyDescent="0.25">
      <c r="B11" s="4"/>
      <c r="C11" s="4"/>
      <c r="D11" s="4"/>
      <c r="E11" s="35"/>
      <c r="F11" s="35"/>
      <c r="G11" s="35"/>
      <c r="H11" s="35"/>
    </row>
    <row r="12" spans="1:9" ht="15" customHeight="1" x14ac:dyDescent="0.25">
      <c r="B12" s="17" t="s">
        <v>9</v>
      </c>
      <c r="C12" s="4"/>
      <c r="D12" s="4"/>
      <c r="E12" s="35"/>
      <c r="F12" s="35"/>
      <c r="G12" s="35"/>
      <c r="H12" s="35"/>
      <c r="I12" s="3"/>
    </row>
    <row r="13" spans="1:9" ht="15" customHeight="1" x14ac:dyDescent="0.25">
      <c r="B13" s="4"/>
      <c r="C13" s="4"/>
      <c r="D13" s="4"/>
      <c r="E13" s="35"/>
      <c r="F13" s="35"/>
      <c r="G13" s="35"/>
      <c r="H13" s="35"/>
      <c r="I13" s="3"/>
    </row>
    <row r="14" spans="1:9" ht="15" customHeight="1" x14ac:dyDescent="0.25">
      <c r="B14" s="36" t="s">
        <v>10</v>
      </c>
      <c r="C14" s="36"/>
      <c r="D14" s="4"/>
      <c r="E14" s="35"/>
      <c r="F14" s="35"/>
      <c r="G14" s="35"/>
      <c r="H14" s="35"/>
      <c r="I14" s="3"/>
    </row>
    <row r="15" spans="1:9" ht="15" customHeight="1" x14ac:dyDescent="0.25">
      <c r="B15" s="36"/>
      <c r="C15" s="36"/>
      <c r="D15" s="4"/>
      <c r="E15" s="15"/>
      <c r="F15" s="14"/>
      <c r="G15" s="14"/>
      <c r="H15" s="18"/>
      <c r="I15" s="3"/>
    </row>
    <row r="16" spans="1:9" ht="15" customHeight="1" x14ac:dyDescent="0.25">
      <c r="B16" s="36"/>
      <c r="C16" s="36"/>
      <c r="D16" s="19"/>
      <c r="E16" s="35" t="s">
        <v>11</v>
      </c>
      <c r="F16" s="35"/>
      <c r="G16" s="35"/>
      <c r="H16" s="35"/>
      <c r="I16" s="3"/>
    </row>
    <row r="17" spans="2:8" ht="15" customHeight="1" x14ac:dyDescent="0.25">
      <c r="B17" s="4"/>
      <c r="C17" s="4"/>
      <c r="D17" s="4"/>
      <c r="E17" s="35"/>
      <c r="F17" s="35"/>
      <c r="G17" s="35"/>
      <c r="H17" s="35"/>
    </row>
    <row r="18" spans="2:8" ht="15" customHeight="1" x14ac:dyDescent="0.25">
      <c r="B18" s="43" t="s">
        <v>12</v>
      </c>
      <c r="C18" s="43"/>
      <c r="D18" s="4"/>
      <c r="E18" s="35"/>
      <c r="F18" s="35"/>
      <c r="G18" s="35"/>
      <c r="H18" s="35"/>
    </row>
    <row r="19" spans="2:8" ht="15" customHeight="1" x14ac:dyDescent="0.25">
      <c r="B19" s="4"/>
      <c r="C19" s="4"/>
      <c r="D19" s="4"/>
      <c r="E19" s="35"/>
      <c r="F19" s="35"/>
      <c r="G19" s="35"/>
      <c r="H19" s="35"/>
    </row>
    <row r="20" spans="2:8" ht="15" customHeight="1" x14ac:dyDescent="0.25">
      <c r="B20" s="43" t="s">
        <v>13</v>
      </c>
      <c r="C20" s="43"/>
      <c r="D20" s="4"/>
      <c r="E20" s="35"/>
      <c r="F20" s="35"/>
      <c r="G20" s="35"/>
      <c r="H20" s="35"/>
    </row>
    <row r="21" spans="2:8" ht="15" customHeight="1" x14ac:dyDescent="0.25">
      <c r="B21" s="4"/>
      <c r="C21" s="4"/>
      <c r="D21" s="4"/>
      <c r="E21" s="20"/>
      <c r="F21" s="20"/>
      <c r="G21" s="20"/>
      <c r="H21" s="20"/>
    </row>
    <row r="22" spans="2:8" ht="15" customHeight="1" x14ac:dyDescent="0.25">
      <c r="B22" s="36" t="s">
        <v>14</v>
      </c>
      <c r="C22" s="36"/>
      <c r="D22" s="4"/>
      <c r="E22" s="20"/>
      <c r="F22" s="20"/>
      <c r="G22" s="20"/>
      <c r="H22" s="20"/>
    </row>
    <row r="23" spans="2:8" x14ac:dyDescent="0.25">
      <c r="B23" s="36"/>
      <c r="C23" s="36"/>
      <c r="D23" s="4"/>
      <c r="E23" s="4"/>
      <c r="H23" s="3"/>
    </row>
    <row r="24" spans="2:8" ht="15" customHeight="1" x14ac:dyDescent="0.25">
      <c r="B24" s="36"/>
      <c r="C24" s="36"/>
      <c r="D24" s="4"/>
      <c r="E24" s="4"/>
      <c r="H24" s="3"/>
    </row>
    <row r="25" spans="2:8" ht="15" customHeight="1" x14ac:dyDescent="0.25">
      <c r="B25" s="4"/>
      <c r="C25" s="19"/>
      <c r="D25" s="19"/>
      <c r="E25" s="4"/>
      <c r="G25" s="19"/>
      <c r="H25" s="3"/>
    </row>
    <row r="26" spans="2:8" x14ac:dyDescent="0.25">
      <c r="B26" s="36" t="s">
        <v>15</v>
      </c>
      <c r="C26" s="36"/>
      <c r="D26" s="19"/>
      <c r="E26" s="4"/>
      <c r="G26" s="19"/>
      <c r="H26" s="3"/>
    </row>
    <row r="27" spans="2:8" ht="15" customHeight="1" x14ac:dyDescent="0.25">
      <c r="B27" s="36"/>
      <c r="C27" s="36"/>
      <c r="D27" s="4"/>
      <c r="E27" s="4"/>
      <c r="H27" s="3"/>
    </row>
    <row r="28" spans="2:8" x14ac:dyDescent="0.25">
      <c r="B28" s="36"/>
      <c r="C28" s="36"/>
      <c r="D28" s="4"/>
      <c r="E28" s="4"/>
      <c r="H28" s="3"/>
    </row>
    <row r="29" spans="2:8" x14ac:dyDescent="0.25">
      <c r="B29" s="4"/>
      <c r="C29" s="4"/>
      <c r="D29" s="4"/>
      <c r="E29" s="4"/>
      <c r="H29" s="3"/>
    </row>
    <row r="30" spans="2:8" ht="15" customHeight="1" x14ac:dyDescent="0.25">
      <c r="B30" s="36" t="s">
        <v>16</v>
      </c>
      <c r="C30" s="36"/>
      <c r="D30" s="4"/>
      <c r="E30" s="4"/>
      <c r="H30" s="3"/>
    </row>
    <row r="31" spans="2:8" x14ac:dyDescent="0.25">
      <c r="B31" s="36"/>
      <c r="C31" s="36"/>
      <c r="D31" s="4"/>
      <c r="E31" s="4"/>
      <c r="H31" s="3"/>
    </row>
    <row r="32" spans="2:8" ht="15" customHeight="1" x14ac:dyDescent="0.25">
      <c r="B32" s="19"/>
      <c r="C32" s="19"/>
      <c r="D32" s="4"/>
      <c r="E32" s="4"/>
      <c r="H32" s="3"/>
    </row>
    <row r="33" spans="1:9" x14ac:dyDescent="0.25">
      <c r="B33" s="4"/>
      <c r="C33" s="4"/>
      <c r="D33" s="4"/>
      <c r="E33" s="4"/>
      <c r="H33" s="3"/>
    </row>
    <row r="34" spans="1:9" ht="15" customHeight="1" x14ac:dyDescent="0.25">
      <c r="B34" s="4"/>
      <c r="C34" s="4"/>
      <c r="D34" s="19"/>
      <c r="E34" s="4"/>
      <c r="G34" s="19"/>
      <c r="H34" s="3"/>
    </row>
    <row r="35" spans="1:9" x14ac:dyDescent="0.25">
      <c r="B35" s="4"/>
      <c r="C35" s="4"/>
      <c r="D35" s="19"/>
      <c r="E35" s="4"/>
      <c r="G35" s="19"/>
      <c r="H35" s="3"/>
      <c r="I35" s="3"/>
    </row>
    <row r="36" spans="1:9" x14ac:dyDescent="0.25">
      <c r="B36" s="4"/>
      <c r="C36" s="4"/>
      <c r="D36" s="4"/>
      <c r="E36" s="4"/>
      <c r="H36" s="3"/>
      <c r="I36" s="3"/>
    </row>
    <row r="37" spans="1:9" x14ac:dyDescent="0.25">
      <c r="B37" s="4"/>
      <c r="C37" s="4"/>
      <c r="D37" s="19"/>
      <c r="E37" s="4"/>
      <c r="G37" s="19"/>
      <c r="H37" s="3"/>
      <c r="I37" s="3"/>
    </row>
    <row r="38" spans="1:9" x14ac:dyDescent="0.25">
      <c r="B38" s="4"/>
      <c r="C38" s="4"/>
      <c r="D38" s="19"/>
      <c r="E38" s="4"/>
      <c r="G38" s="19"/>
      <c r="H38" s="3"/>
      <c r="I38" s="3"/>
    </row>
    <row r="39" spans="1:9" x14ac:dyDescent="0.25">
      <c r="B39" s="4"/>
      <c r="C39" s="4"/>
      <c r="D39" s="4"/>
      <c r="E39" s="4"/>
      <c r="H39" s="3"/>
      <c r="I39" s="3"/>
    </row>
    <row r="40" spans="1:9" x14ac:dyDescent="0.25">
      <c r="H40" s="3"/>
      <c r="I40" s="3"/>
    </row>
    <row r="41" spans="1:9" x14ac:dyDescent="0.25">
      <c r="H41" s="3"/>
      <c r="I41" s="3"/>
    </row>
    <row r="42" spans="1:9" x14ac:dyDescent="0.25">
      <c r="H42" s="3"/>
      <c r="I42" s="3"/>
    </row>
    <row r="43" spans="1:9" x14ac:dyDescent="0.25">
      <c r="C43" s="4"/>
      <c r="H43" s="3"/>
      <c r="I43" s="3"/>
    </row>
    <row r="44" spans="1:9" x14ac:dyDescent="0.25">
      <c r="H44" s="3"/>
      <c r="I44" s="3"/>
    </row>
    <row r="45" spans="1:9" x14ac:dyDescent="0.25">
      <c r="D45" s="4"/>
      <c r="E45" s="4"/>
      <c r="F45" s="4"/>
      <c r="G45" s="4"/>
      <c r="H45" s="3"/>
      <c r="I45" s="3"/>
    </row>
    <row r="47" spans="1:9" x14ac:dyDescent="0.25">
      <c r="A47" s="1"/>
      <c r="B47" s="4"/>
      <c r="C47" s="4"/>
    </row>
    <row r="48" spans="1:9" x14ac:dyDescent="0.25">
      <c r="C48" s="4"/>
    </row>
    <row r="49" spans="1:9" x14ac:dyDescent="0.25">
      <c r="A49" s="24"/>
      <c r="B49" s="4"/>
      <c r="C49" s="4"/>
      <c r="D49" s="4"/>
      <c r="E49" s="4"/>
      <c r="F49" s="4"/>
      <c r="G49" s="4"/>
      <c r="H49" s="3"/>
      <c r="I49" s="3"/>
    </row>
  </sheetData>
  <sheetProtection password="880D" sheet="1" objects="1" scenarios="1"/>
  <mergeCells count="13">
    <mergeCell ref="B3:C3"/>
    <mergeCell ref="B1:C1"/>
    <mergeCell ref="B26:C28"/>
    <mergeCell ref="B14:C16"/>
    <mergeCell ref="B18:C18"/>
    <mergeCell ref="B20:C20"/>
    <mergeCell ref="B22:C24"/>
    <mergeCell ref="B2:C2"/>
    <mergeCell ref="E8:H14"/>
    <mergeCell ref="E16:H20"/>
    <mergeCell ref="B30:C31"/>
    <mergeCell ref="C7:C8"/>
    <mergeCell ref="B7:B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Inputs!$A$4:$A$131</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131"/>
  <sheetViews>
    <sheetView topLeftCell="A46" workbookViewId="0">
      <selection activeCell="A57" sqref="A57"/>
    </sheetView>
  </sheetViews>
  <sheetFormatPr defaultRowHeight="15" x14ac:dyDescent="0.25"/>
  <cols>
    <col min="1" max="1" width="43.42578125" style="1" customWidth="1"/>
    <col min="2" max="2" width="11" style="1" customWidth="1"/>
    <col min="3" max="4" width="9.140625" style="2" customWidth="1"/>
    <col min="5" max="6" width="9.140625" style="3" customWidth="1"/>
    <col min="7" max="9" width="9.140625" style="2" customWidth="1"/>
    <col min="10" max="10" width="10.5703125" style="2" customWidth="1"/>
    <col min="11" max="19" width="9.140625" style="2" customWidth="1"/>
    <col min="20" max="20" width="10.5703125" style="2" customWidth="1"/>
    <col min="21" max="21" width="10.28515625" style="2" customWidth="1"/>
    <col min="22" max="22" width="10.7109375" style="2" customWidth="1"/>
    <col min="23" max="24" width="9.140625" style="2" customWidth="1"/>
    <col min="25" max="25" width="0.140625" style="2" customWidth="1"/>
    <col min="26" max="26" width="9.140625" style="2" customWidth="1"/>
    <col min="27" max="27" width="9.7109375" style="1" customWidth="1"/>
    <col min="28" max="28" width="11" style="1" customWidth="1"/>
    <col min="29" max="29" width="10.5703125" style="3" customWidth="1"/>
  </cols>
  <sheetData>
    <row r="2" spans="1:29" x14ac:dyDescent="0.25">
      <c r="E2" s="47" t="s">
        <v>17</v>
      </c>
      <c r="F2" s="47" t="s">
        <v>18</v>
      </c>
      <c r="G2" s="46" t="s">
        <v>19</v>
      </c>
      <c r="H2" s="46" t="s">
        <v>20</v>
      </c>
      <c r="I2" s="46" t="s">
        <v>21</v>
      </c>
      <c r="J2" s="46" t="s">
        <v>22</v>
      </c>
      <c r="K2" s="46" t="s">
        <v>23</v>
      </c>
      <c r="L2" s="46" t="s">
        <v>24</v>
      </c>
      <c r="M2" s="46" t="s">
        <v>25</v>
      </c>
      <c r="N2" s="46" t="s">
        <v>26</v>
      </c>
      <c r="O2" s="46" t="s">
        <v>27</v>
      </c>
      <c r="P2" s="46" t="s">
        <v>28</v>
      </c>
      <c r="Q2" s="46" t="s">
        <v>29</v>
      </c>
      <c r="R2" s="46" t="s">
        <v>30</v>
      </c>
      <c r="S2" s="46" t="s">
        <v>31</v>
      </c>
      <c r="T2" s="46" t="s">
        <v>32</v>
      </c>
      <c r="U2" s="46" t="s">
        <v>33</v>
      </c>
      <c r="V2" s="46" t="s">
        <v>34</v>
      </c>
      <c r="W2" s="33"/>
      <c r="X2" s="33"/>
      <c r="Y2" s="33"/>
      <c r="Z2" s="33"/>
      <c r="AA2" s="48" t="s">
        <v>5</v>
      </c>
      <c r="AB2" s="48" t="s">
        <v>6</v>
      </c>
      <c r="AC2" s="47"/>
    </row>
    <row r="3" spans="1:29" x14ac:dyDescent="0.25">
      <c r="A3" s="5" t="s">
        <v>35</v>
      </c>
      <c r="B3" s="5" t="s">
        <v>36</v>
      </c>
      <c r="C3" s="6" t="s">
        <v>37</v>
      </c>
      <c r="D3" s="6"/>
      <c r="E3" s="47"/>
      <c r="F3" s="47"/>
      <c r="G3" s="46"/>
      <c r="H3" s="46"/>
      <c r="I3" s="46"/>
      <c r="J3" s="46"/>
      <c r="K3" s="46"/>
      <c r="L3" s="46"/>
      <c r="M3" s="46"/>
      <c r="N3" s="46"/>
      <c r="O3" s="46"/>
      <c r="P3" s="46"/>
      <c r="Q3" s="46"/>
      <c r="R3" s="46"/>
      <c r="S3" s="46"/>
      <c r="T3" s="46"/>
      <c r="U3" s="46"/>
      <c r="V3" s="46"/>
      <c r="W3" s="33"/>
      <c r="X3" s="33"/>
      <c r="Y3" s="33"/>
      <c r="Z3" s="33"/>
      <c r="AA3" s="48"/>
      <c r="AB3" s="48"/>
      <c r="AC3" s="47"/>
    </row>
    <row r="4" spans="1:29" x14ac:dyDescent="0.25">
      <c r="A4" s="1" t="s">
        <v>38</v>
      </c>
      <c r="C4" s="2">
        <f>Calculator!B$5</f>
        <v>6000</v>
      </c>
      <c r="E4" s="3">
        <v>55</v>
      </c>
      <c r="G4" s="3">
        <v>4.3</v>
      </c>
      <c r="H4" s="3">
        <v>9.3000000000000007</v>
      </c>
      <c r="I4" s="3">
        <v>14.99</v>
      </c>
      <c r="J4" s="2">
        <v>3000</v>
      </c>
      <c r="K4" s="2">
        <v>7000</v>
      </c>
      <c r="L4" s="2">
        <v>5000</v>
      </c>
      <c r="M4" s="2">
        <f>E4</f>
        <v>55</v>
      </c>
      <c r="N4" s="3">
        <f>G4*K4/1000</f>
        <v>30.1</v>
      </c>
      <c r="O4" s="3">
        <f>H4*L4/1000</f>
        <v>46.5</v>
      </c>
      <c r="P4" s="3">
        <f>((C4*3)-J4)*G4/1000</f>
        <v>64.5</v>
      </c>
      <c r="Q4" s="2">
        <f>((C4*3)-J4-K4)*H4/1000</f>
        <v>74.400000000000006</v>
      </c>
      <c r="R4" s="2">
        <f>((C4*3)-J4-K4-L4)*I4/1000</f>
        <v>44.97</v>
      </c>
      <c r="S4" s="2">
        <f>E4</f>
        <v>55</v>
      </c>
      <c r="T4" s="2">
        <f>E4+P4</f>
        <v>119.5</v>
      </c>
      <c r="U4" s="2">
        <f>E4+N4+Q4</f>
        <v>159.5</v>
      </c>
      <c r="V4" s="2">
        <f>E4+N4+O4+R4</f>
        <v>176.57</v>
      </c>
      <c r="W4" s="2" t="b">
        <f>C4*3&lt;=J4</f>
        <v>0</v>
      </c>
      <c r="X4" s="2" t="b">
        <f>AND(C4*3&lt;=(J4+K4),C4*3&gt;J4)</f>
        <v>0</v>
      </c>
      <c r="Y4" s="2" t="b">
        <f>AND(C4*3&gt;(J4+K4),C4*3&lt;=(J4+K4+L4))</f>
        <v>0</v>
      </c>
      <c r="Z4" s="2" t="b">
        <f>C4*3&gt;(J4+K4+L4)</f>
        <v>1</v>
      </c>
      <c r="AA4" s="3">
        <v>0</v>
      </c>
      <c r="AB4" s="3">
        <f>INDEX(S4:V4,MATCH($AC$4,W4:Z4,0))</f>
        <v>176.57</v>
      </c>
      <c r="AC4" s="1" t="b">
        <v>1</v>
      </c>
    </row>
    <row r="5" spans="1:29" x14ac:dyDescent="0.25">
      <c r="A5" s="1" t="s">
        <v>39</v>
      </c>
      <c r="B5" s="8">
        <v>42388</v>
      </c>
      <c r="C5" s="2">
        <f>Calculator!B$5</f>
        <v>6000</v>
      </c>
      <c r="E5" s="3">
        <v>5.14</v>
      </c>
      <c r="F5" s="9">
        <v>4.6176000000000004</v>
      </c>
      <c r="G5" s="9">
        <v>4.0350999999999999</v>
      </c>
      <c r="H5" s="9"/>
      <c r="J5" s="2">
        <v>36667</v>
      </c>
      <c r="M5" s="3">
        <f>J5*F5/1000</f>
        <v>169.31353920000001</v>
      </c>
      <c r="N5" s="3"/>
      <c r="O5" s="3"/>
      <c r="P5" s="3">
        <f>(C5-J5)*G5/1000</f>
        <v>-123.7444117</v>
      </c>
      <c r="Q5" s="3"/>
      <c r="R5" s="3"/>
      <c r="S5" s="3"/>
      <c r="T5" s="3">
        <f>E5+M5+P5</f>
        <v>50.709127499999994</v>
      </c>
      <c r="U5" s="3"/>
      <c r="V5" s="3"/>
      <c r="W5" s="3"/>
      <c r="X5" s="3"/>
      <c r="Y5" s="3"/>
      <c r="Z5" s="3"/>
      <c r="AA5" s="3">
        <f>IF(C5&gt;J5,T5,E5+(F5*C5/1000))</f>
        <v>32.845599999999997</v>
      </c>
      <c r="AB5" s="3">
        <f>AA5*3</f>
        <v>98.536799999999999</v>
      </c>
      <c r="AC5" s="1" t="b">
        <v>0</v>
      </c>
    </row>
    <row r="6" spans="1:29" x14ac:dyDescent="0.25">
      <c r="A6" s="1" t="s">
        <v>40</v>
      </c>
      <c r="B6" s="8">
        <v>42388</v>
      </c>
      <c r="C6" s="2">
        <f>Calculator!B$5</f>
        <v>6000</v>
      </c>
      <c r="E6" s="3">
        <v>4.2</v>
      </c>
      <c r="F6" s="9">
        <v>4.6176000000000004</v>
      </c>
      <c r="G6" s="9">
        <v>4.0350999999999999</v>
      </c>
      <c r="H6" s="9"/>
      <c r="J6" s="2">
        <v>36667</v>
      </c>
      <c r="M6" s="3">
        <f>J6*F6/1000</f>
        <v>169.31353920000001</v>
      </c>
      <c r="N6" s="3"/>
      <c r="O6" s="3"/>
      <c r="P6" s="3">
        <f>(C6-J6)*G6/1000</f>
        <v>-123.7444117</v>
      </c>
      <c r="Q6" s="3"/>
      <c r="R6" s="3"/>
      <c r="S6" s="3"/>
      <c r="T6" s="3">
        <f>E6+M6+P6</f>
        <v>49.769127499999996</v>
      </c>
      <c r="U6" s="3"/>
      <c r="V6" s="3"/>
      <c r="W6" s="3"/>
      <c r="X6" s="3"/>
      <c r="Y6" s="3"/>
      <c r="Z6" s="3"/>
      <c r="AA6" s="3">
        <f>IF(C6&gt;J6,T6,E6+(F6*C6/1000))</f>
        <v>31.9056</v>
      </c>
      <c r="AB6" s="3">
        <f>AA6*3</f>
        <v>95.716800000000006</v>
      </c>
      <c r="AC6" s="1"/>
    </row>
    <row r="7" spans="1:29" x14ac:dyDescent="0.25">
      <c r="A7" s="1" t="s">
        <v>41</v>
      </c>
      <c r="B7" s="12" t="s">
        <v>42</v>
      </c>
      <c r="C7" s="2">
        <f>Calculator!B$5</f>
        <v>6000</v>
      </c>
      <c r="D7" s="1"/>
      <c r="E7" s="3">
        <v>33.86</v>
      </c>
      <c r="F7" s="3">
        <v>7.6</v>
      </c>
      <c r="G7" s="3">
        <v>3.54</v>
      </c>
      <c r="H7" s="1"/>
      <c r="I7" s="1"/>
      <c r="J7" s="2">
        <v>33000</v>
      </c>
      <c r="K7" s="1"/>
      <c r="L7" s="1"/>
      <c r="M7" s="3">
        <f>(J7*F7/1000)</f>
        <v>250.8</v>
      </c>
      <c r="N7" s="3"/>
      <c r="O7" s="3"/>
      <c r="P7" s="3">
        <f>((C7*2)-J7)*G7/1000</f>
        <v>-74.34</v>
      </c>
      <c r="Q7" s="3"/>
      <c r="R7" s="3"/>
      <c r="S7" s="3"/>
      <c r="T7" s="3">
        <f>(E7+M7+P7)/2</f>
        <v>105.16000000000001</v>
      </c>
      <c r="U7" s="3"/>
      <c r="V7" s="3"/>
      <c r="W7" s="3"/>
      <c r="X7" s="3"/>
      <c r="Y7" s="3"/>
      <c r="Z7" s="3"/>
      <c r="AA7" s="3">
        <f>IF((C7*2)&lt;=J7,(E7+(F7*C7*2/1000))/2,((M7+P7+E7)/2))</f>
        <v>62.53</v>
      </c>
      <c r="AB7" s="3">
        <v>0</v>
      </c>
    </row>
    <row r="8" spans="1:29" x14ac:dyDescent="0.25">
      <c r="A8" s="1" t="s">
        <v>43</v>
      </c>
      <c r="B8" s="12" t="s">
        <v>42</v>
      </c>
      <c r="C8" s="2">
        <f>Calculator!B$5</f>
        <v>6000</v>
      </c>
      <c r="D8" s="1"/>
      <c r="E8" s="3">
        <v>22.57</v>
      </c>
      <c r="F8" s="3">
        <v>7.6</v>
      </c>
      <c r="G8" s="3">
        <v>3.54</v>
      </c>
      <c r="H8" s="1"/>
      <c r="I8" s="1"/>
      <c r="J8" s="2">
        <v>33000</v>
      </c>
      <c r="K8" s="1"/>
      <c r="L8" s="1"/>
      <c r="M8" s="3">
        <f>(J8*F8/1000)</f>
        <v>250.8</v>
      </c>
      <c r="N8" s="3"/>
      <c r="O8" s="3"/>
      <c r="P8" s="3">
        <f>((C8*2)-J8)*G8/1000</f>
        <v>-74.34</v>
      </c>
      <c r="Q8" s="3"/>
      <c r="R8" s="3"/>
      <c r="S8" s="3"/>
      <c r="T8" s="3">
        <f>(E8+M8+P8)/2</f>
        <v>99.515000000000001</v>
      </c>
      <c r="U8" s="3"/>
      <c r="V8" s="3"/>
      <c r="W8" s="3"/>
      <c r="X8" s="3"/>
      <c r="Y8" s="3"/>
      <c r="Z8" s="3"/>
      <c r="AA8" s="3">
        <f>IF((C8*2)&lt;=J8,(E8+(F8*C8*2/1000))/2,((M8+P8+E8)/2))</f>
        <v>56.885000000000005</v>
      </c>
      <c r="AB8" s="3">
        <v>0</v>
      </c>
    </row>
    <row r="9" spans="1:29" x14ac:dyDescent="0.25">
      <c r="A9" s="1" t="s">
        <v>44</v>
      </c>
      <c r="C9" s="2">
        <f>Calculator!B$5</f>
        <v>6000</v>
      </c>
      <c r="E9" s="3">
        <v>27.5</v>
      </c>
      <c r="F9" s="3">
        <v>8.8000000000000007</v>
      </c>
      <c r="AA9" s="3">
        <f>E9+(F9*C9)/1000</f>
        <v>80.300000000000011</v>
      </c>
      <c r="AB9" s="3">
        <v>0</v>
      </c>
    </row>
    <row r="10" spans="1:29" x14ac:dyDescent="0.25">
      <c r="A10" s="1" t="s">
        <v>45</v>
      </c>
      <c r="C10" s="2">
        <f>Calculator!B$5</f>
        <v>6000</v>
      </c>
      <c r="E10" s="3">
        <v>16</v>
      </c>
      <c r="F10" s="3">
        <v>8.8000000000000007</v>
      </c>
      <c r="AA10" s="3">
        <f>E10+(F10*C10)/1000</f>
        <v>68.800000000000011</v>
      </c>
      <c r="AB10" s="3">
        <v>0</v>
      </c>
    </row>
    <row r="11" spans="1:29" x14ac:dyDescent="0.25">
      <c r="A11" s="1" t="s">
        <v>46</v>
      </c>
      <c r="C11" s="2">
        <f>Calculator!B$5</f>
        <v>6000</v>
      </c>
      <c r="E11" s="3">
        <v>15</v>
      </c>
      <c r="F11" s="3">
        <v>7.1</v>
      </c>
      <c r="AA11" s="3">
        <f>E11+(F11*C11)/1000</f>
        <v>57.6</v>
      </c>
      <c r="AB11" s="3">
        <v>0</v>
      </c>
    </row>
    <row r="12" spans="1:29" x14ac:dyDescent="0.25">
      <c r="A12" s="1" t="s">
        <v>47</v>
      </c>
      <c r="C12" s="2">
        <f>Calculator!B$5</f>
        <v>6000</v>
      </c>
      <c r="E12" s="3">
        <v>27.5</v>
      </c>
      <c r="F12" s="3">
        <v>7.2080000000000002</v>
      </c>
      <c r="G12" s="2">
        <v>8.2080000000000002</v>
      </c>
      <c r="J12" s="2">
        <v>2000</v>
      </c>
      <c r="M12" s="3">
        <f t="shared" ref="M12:M17" si="0">J12*F12/1000</f>
        <v>14.416</v>
      </c>
      <c r="N12" s="3"/>
      <c r="O12" s="3"/>
      <c r="P12" s="3">
        <f t="shared" ref="P12:P17" si="1">(C12-J12)*G12/1000</f>
        <v>32.832000000000001</v>
      </c>
      <c r="Q12" s="3"/>
      <c r="R12" s="3"/>
      <c r="S12" s="3"/>
      <c r="T12" s="3">
        <f t="shared" ref="T12:T17" si="2">E12+M12+P12</f>
        <v>74.74799999999999</v>
      </c>
      <c r="U12" s="3"/>
      <c r="V12" s="3"/>
      <c r="W12" s="3"/>
      <c r="X12" s="3"/>
      <c r="Y12" s="3"/>
      <c r="Z12" s="3"/>
      <c r="AA12" s="3">
        <f t="shared" ref="AA12:AA17" si="3">IF(C12&gt;J12,T12,E12+(F12*C12/1000))</f>
        <v>74.74799999999999</v>
      </c>
      <c r="AB12" s="3">
        <v>0</v>
      </c>
    </row>
    <row r="13" spans="1:29" x14ac:dyDescent="0.25">
      <c r="A13" s="1" t="s">
        <v>48</v>
      </c>
      <c r="C13" s="2">
        <f>Calculator!B$5</f>
        <v>6000</v>
      </c>
      <c r="E13" s="3">
        <v>16</v>
      </c>
      <c r="F13" s="3">
        <v>7.2080000000000002</v>
      </c>
      <c r="G13" s="2">
        <v>8.2080000000000002</v>
      </c>
      <c r="J13" s="2">
        <v>2000</v>
      </c>
      <c r="M13" s="3">
        <f t="shared" si="0"/>
        <v>14.416</v>
      </c>
      <c r="N13" s="3"/>
      <c r="O13" s="3"/>
      <c r="P13" s="3">
        <f t="shared" si="1"/>
        <v>32.832000000000001</v>
      </c>
      <c r="Q13" s="3"/>
      <c r="R13" s="3"/>
      <c r="S13" s="3"/>
      <c r="T13" s="3">
        <f t="shared" si="2"/>
        <v>63.248000000000005</v>
      </c>
      <c r="U13" s="3"/>
      <c r="V13" s="3"/>
      <c r="W13" s="3"/>
      <c r="X13" s="3"/>
      <c r="Y13" s="3"/>
      <c r="Z13" s="3"/>
      <c r="AA13" s="3">
        <f t="shared" si="3"/>
        <v>63.248000000000005</v>
      </c>
      <c r="AB13" s="3">
        <v>0</v>
      </c>
    </row>
    <row r="14" spans="1:29" x14ac:dyDescent="0.25">
      <c r="A14" s="1" t="s">
        <v>49</v>
      </c>
      <c r="C14" s="2">
        <f>Calculator!B$5</f>
        <v>6000</v>
      </c>
      <c r="E14" s="3">
        <v>15</v>
      </c>
      <c r="F14" s="3">
        <v>5</v>
      </c>
      <c r="G14" s="2">
        <v>6</v>
      </c>
      <c r="J14" s="2">
        <v>2000</v>
      </c>
      <c r="M14" s="3">
        <f t="shared" si="0"/>
        <v>10</v>
      </c>
      <c r="N14" s="3"/>
      <c r="O14" s="3"/>
      <c r="P14" s="3">
        <f t="shared" si="1"/>
        <v>24</v>
      </c>
      <c r="Q14" s="3"/>
      <c r="R14" s="3"/>
      <c r="S14" s="3"/>
      <c r="T14" s="3">
        <f t="shared" si="2"/>
        <v>49</v>
      </c>
      <c r="U14" s="3"/>
      <c r="V14" s="3"/>
      <c r="W14" s="3"/>
      <c r="X14" s="3"/>
      <c r="Y14" s="3"/>
      <c r="Z14" s="3"/>
      <c r="AA14" s="3">
        <f t="shared" si="3"/>
        <v>49</v>
      </c>
      <c r="AB14" s="3">
        <v>0</v>
      </c>
    </row>
    <row r="15" spans="1:29" x14ac:dyDescent="0.25">
      <c r="A15" s="1" t="s">
        <v>50</v>
      </c>
      <c r="C15" s="2">
        <f>Calculator!B$5</f>
        <v>6000</v>
      </c>
      <c r="E15" s="3">
        <v>26</v>
      </c>
      <c r="F15" s="3">
        <v>4.8</v>
      </c>
      <c r="G15" s="2">
        <v>8.9619999999999997</v>
      </c>
      <c r="J15" s="2">
        <v>4000</v>
      </c>
      <c r="M15" s="3">
        <f t="shared" si="0"/>
        <v>19.2</v>
      </c>
      <c r="N15" s="3"/>
      <c r="O15" s="3"/>
      <c r="P15" s="3">
        <f t="shared" si="1"/>
        <v>17.923999999999999</v>
      </c>
      <c r="Q15" s="3"/>
      <c r="R15" s="3"/>
      <c r="S15" s="3"/>
      <c r="T15" s="3">
        <f t="shared" si="2"/>
        <v>63.124000000000002</v>
      </c>
      <c r="U15" s="3"/>
      <c r="V15" s="3"/>
      <c r="W15" s="3"/>
      <c r="X15" s="3"/>
      <c r="Y15" s="3"/>
      <c r="Z15" s="3"/>
      <c r="AA15" s="3">
        <f t="shared" si="3"/>
        <v>63.124000000000002</v>
      </c>
      <c r="AB15" s="3">
        <v>0</v>
      </c>
    </row>
    <row r="16" spans="1:29" x14ac:dyDescent="0.25">
      <c r="A16" s="1" t="s">
        <v>51</v>
      </c>
      <c r="C16" s="2">
        <f>Calculator!B$5</f>
        <v>6000</v>
      </c>
      <c r="E16" s="3">
        <v>26</v>
      </c>
      <c r="F16" s="3">
        <v>7.2119999999999997</v>
      </c>
      <c r="G16" s="2">
        <v>10.352</v>
      </c>
      <c r="J16" s="2">
        <v>4000</v>
      </c>
      <c r="M16" s="3">
        <f t="shared" si="0"/>
        <v>28.847999999999999</v>
      </c>
      <c r="N16" s="3"/>
      <c r="O16" s="3"/>
      <c r="P16" s="3">
        <f t="shared" si="1"/>
        <v>20.704000000000001</v>
      </c>
      <c r="Q16" s="3"/>
      <c r="R16" s="3"/>
      <c r="S16" s="3"/>
      <c r="T16" s="3">
        <f t="shared" si="2"/>
        <v>75.551999999999992</v>
      </c>
      <c r="U16" s="3"/>
      <c r="V16" s="3"/>
      <c r="W16" s="3"/>
      <c r="X16" s="3"/>
      <c r="Y16" s="3"/>
      <c r="Z16" s="3"/>
      <c r="AA16" s="3">
        <f t="shared" si="3"/>
        <v>75.551999999999992</v>
      </c>
      <c r="AB16" s="3">
        <v>0</v>
      </c>
    </row>
    <row r="17" spans="1:28" x14ac:dyDescent="0.25">
      <c r="A17" s="1" t="s">
        <v>52</v>
      </c>
      <c r="C17" s="2">
        <f>Calculator!B$5</f>
        <v>6000</v>
      </c>
      <c r="E17" s="3">
        <v>26</v>
      </c>
      <c r="F17" s="3">
        <v>7.2119999999999997</v>
      </c>
      <c r="G17" s="2">
        <v>10.352</v>
      </c>
      <c r="J17" s="2">
        <v>4000</v>
      </c>
      <c r="M17" s="3">
        <f t="shared" si="0"/>
        <v>28.847999999999999</v>
      </c>
      <c r="N17" s="3"/>
      <c r="O17" s="3"/>
      <c r="P17" s="3">
        <f t="shared" si="1"/>
        <v>20.704000000000001</v>
      </c>
      <c r="Q17" s="3"/>
      <c r="R17" s="3"/>
      <c r="S17" s="3"/>
      <c r="T17" s="3">
        <f t="shared" si="2"/>
        <v>75.551999999999992</v>
      </c>
      <c r="U17" s="3"/>
      <c r="V17" s="3"/>
      <c r="W17" s="3"/>
      <c r="X17" s="3"/>
      <c r="Y17" s="3"/>
      <c r="Z17" s="3"/>
      <c r="AA17" s="3">
        <f t="shared" si="3"/>
        <v>75.551999999999992</v>
      </c>
      <c r="AB17" s="3">
        <v>0</v>
      </c>
    </row>
    <row r="18" spans="1:28" x14ac:dyDescent="0.25">
      <c r="A18" s="1" t="s">
        <v>53</v>
      </c>
      <c r="C18" s="2">
        <f>Calculator!B$5</f>
        <v>6000</v>
      </c>
      <c r="E18" s="3">
        <v>16</v>
      </c>
      <c r="F18" s="3">
        <v>7.98</v>
      </c>
      <c r="AA18" s="3">
        <f>E18+(F18*C18)/1000</f>
        <v>63.88</v>
      </c>
      <c r="AB18" s="3">
        <v>0</v>
      </c>
    </row>
    <row r="19" spans="1:28" x14ac:dyDescent="0.25">
      <c r="A19" s="1" t="s">
        <v>54</v>
      </c>
      <c r="C19" s="2">
        <f>Calculator!B$5</f>
        <v>6000</v>
      </c>
      <c r="E19" s="3">
        <v>27.5</v>
      </c>
      <c r="F19" s="3">
        <v>7.98</v>
      </c>
      <c r="AA19" s="3">
        <f>E19+(F19*C19)/1000</f>
        <v>75.38</v>
      </c>
      <c r="AB19" s="3">
        <v>0</v>
      </c>
    </row>
    <row r="20" spans="1:28" x14ac:dyDescent="0.25">
      <c r="A20" s="1" t="s">
        <v>55</v>
      </c>
      <c r="C20" s="2">
        <f>Calculator!B$5</f>
        <v>6000</v>
      </c>
      <c r="E20" s="3">
        <v>27.5</v>
      </c>
      <c r="F20" s="3">
        <v>8</v>
      </c>
      <c r="AA20" s="3">
        <f>E20+(F20*C20)/1000</f>
        <v>75.5</v>
      </c>
      <c r="AB20" s="3">
        <v>0</v>
      </c>
    </row>
    <row r="21" spans="1:28" x14ac:dyDescent="0.25">
      <c r="A21" s="1" t="s">
        <v>56</v>
      </c>
      <c r="C21" s="2">
        <f>Calculator!B$5</f>
        <v>6000</v>
      </c>
      <c r="E21" s="3">
        <v>16</v>
      </c>
      <c r="F21" s="3">
        <v>8</v>
      </c>
      <c r="AA21" s="3">
        <f>E21+(F21*C21)/1000</f>
        <v>64</v>
      </c>
      <c r="AB21" s="3">
        <v>0</v>
      </c>
    </row>
    <row r="22" spans="1:28" x14ac:dyDescent="0.25">
      <c r="A22" s="1" t="s">
        <v>57</v>
      </c>
      <c r="C22" s="2">
        <f>Calculator!B$5</f>
        <v>6000</v>
      </c>
      <c r="E22" s="3">
        <v>23.5</v>
      </c>
      <c r="F22" s="3">
        <v>7.2119999999999997</v>
      </c>
      <c r="G22" s="2">
        <v>8.9619999999999997</v>
      </c>
      <c r="J22" s="2">
        <v>4000</v>
      </c>
      <c r="M22" s="3">
        <f>J22*F22/1000</f>
        <v>28.847999999999999</v>
      </c>
      <c r="N22" s="3"/>
      <c r="O22" s="3"/>
      <c r="P22" s="3">
        <f>(C22-J22)*G22/1000</f>
        <v>17.923999999999999</v>
      </c>
      <c r="Q22" s="3"/>
      <c r="R22" s="3"/>
      <c r="S22" s="3"/>
      <c r="T22" s="3">
        <f>E22+M22+P22</f>
        <v>70.271999999999991</v>
      </c>
      <c r="U22" s="3"/>
      <c r="V22" s="3"/>
      <c r="W22" s="3"/>
      <c r="X22" s="3"/>
      <c r="Y22" s="3"/>
      <c r="Z22" s="3"/>
      <c r="AA22" s="3">
        <f>IF(C22&gt;J22,T22,E22+(F22*C22/1000))</f>
        <v>70.271999999999991</v>
      </c>
      <c r="AB22" s="3">
        <v>0</v>
      </c>
    </row>
    <row r="23" spans="1:28" x14ac:dyDescent="0.25">
      <c r="A23" s="1" t="s">
        <v>58</v>
      </c>
      <c r="C23" s="2">
        <f>Calculator!B$5</f>
        <v>6000</v>
      </c>
      <c r="E23" s="3">
        <v>27.5</v>
      </c>
      <c r="F23" s="3">
        <v>9.0709999999999997</v>
      </c>
      <c r="G23" s="21">
        <v>10.352</v>
      </c>
      <c r="H23" s="21"/>
      <c r="I23" s="21"/>
      <c r="J23" s="2">
        <v>2000</v>
      </c>
      <c r="M23" s="3">
        <f>J23*F23/1000</f>
        <v>18.141999999999999</v>
      </c>
      <c r="N23" s="3"/>
      <c r="O23" s="3"/>
      <c r="P23" s="3">
        <f>(C23-J23)*G23/1000</f>
        <v>41.408000000000001</v>
      </c>
      <c r="Q23" s="3"/>
      <c r="R23" s="3"/>
      <c r="S23" s="3"/>
      <c r="T23" s="3">
        <f>E23+M23+P23</f>
        <v>87.05</v>
      </c>
      <c r="U23" s="3"/>
      <c r="V23" s="3"/>
      <c r="W23" s="3"/>
      <c r="X23" s="3"/>
      <c r="Y23" s="3"/>
      <c r="Z23" s="3"/>
      <c r="AA23" s="3">
        <f>IF(C23&gt;J23,T23,E23+(F23*C23/1000))</f>
        <v>87.05</v>
      </c>
      <c r="AB23" s="3">
        <v>0</v>
      </c>
    </row>
    <row r="24" spans="1:28" x14ac:dyDescent="0.25">
      <c r="A24" s="1" t="s">
        <v>59</v>
      </c>
      <c r="C24" s="2">
        <f>Calculator!B$5</f>
        <v>6000</v>
      </c>
      <c r="E24" s="3">
        <v>16</v>
      </c>
      <c r="F24" s="3">
        <v>9.0709999999999997</v>
      </c>
      <c r="G24" s="21">
        <v>10.352</v>
      </c>
      <c r="H24" s="21"/>
      <c r="I24" s="21"/>
      <c r="J24" s="2">
        <v>2000</v>
      </c>
      <c r="M24" s="3">
        <f>J24*F24/1000</f>
        <v>18.141999999999999</v>
      </c>
      <c r="N24" s="3"/>
      <c r="O24" s="3"/>
      <c r="P24" s="3">
        <f>(C24-J24)*G24/1000</f>
        <v>41.408000000000001</v>
      </c>
      <c r="Q24" s="3"/>
      <c r="R24" s="3"/>
      <c r="S24" s="3"/>
      <c r="T24" s="3">
        <f>E24+M24+P24</f>
        <v>75.55</v>
      </c>
      <c r="U24" s="3"/>
      <c r="V24" s="3"/>
      <c r="W24" s="3"/>
      <c r="X24" s="3"/>
      <c r="Y24" s="3"/>
      <c r="Z24" s="3"/>
      <c r="AA24" s="3">
        <f>IF(C24&gt;J24,T24,E24+(F24*C24/1000))</f>
        <v>75.55</v>
      </c>
      <c r="AB24" s="3">
        <v>0</v>
      </c>
    </row>
    <row r="25" spans="1:28" x14ac:dyDescent="0.25">
      <c r="A25" s="1" t="s">
        <v>60</v>
      </c>
      <c r="C25" s="2">
        <f>Calculator!B$5</f>
        <v>6000</v>
      </c>
      <c r="E25" s="3" t="b">
        <f>IF(C25&lt;=2000,28)</f>
        <v>0</v>
      </c>
      <c r="F25" s="3" t="b">
        <f>IF(AND(C25&gt;=2001,C25&lt;=3000),33)</f>
        <v>0</v>
      </c>
      <c r="G25" s="3">
        <f>IF(AND(C25&gt;=3001,C25&lt;=6667),33.33+(C25-3001)*3.5/1000)</f>
        <v>43.826499999999996</v>
      </c>
      <c r="H25" s="3"/>
      <c r="I25" s="3"/>
      <c r="J25" s="3" t="b">
        <f>IF(C25&gt;6667,41.67+(C25-6667)*4.5/1000)</f>
        <v>0</v>
      </c>
      <c r="K25" s="3"/>
      <c r="L25" s="3"/>
      <c r="M25" s="3">
        <f>MAX(E25:J25)</f>
        <v>43.826499999999996</v>
      </c>
      <c r="N25" s="3"/>
      <c r="O25" s="3"/>
      <c r="AA25" s="3">
        <f>M25</f>
        <v>43.826499999999996</v>
      </c>
      <c r="AB25" s="3">
        <v>0</v>
      </c>
    </row>
    <row r="26" spans="1:28" x14ac:dyDescent="0.25">
      <c r="A26" s="1" t="s">
        <v>61</v>
      </c>
      <c r="C26" s="2">
        <f>Calculator!B$5</f>
        <v>6000</v>
      </c>
      <c r="E26" s="3">
        <v>23.5</v>
      </c>
      <c r="F26" s="3">
        <v>7.2119999999999997</v>
      </c>
      <c r="G26" s="2">
        <v>8.9619999999999997</v>
      </c>
      <c r="J26" s="2">
        <v>4000</v>
      </c>
      <c r="M26" s="3">
        <f>J26*F26/1000</f>
        <v>28.847999999999999</v>
      </c>
      <c r="N26" s="3"/>
      <c r="O26" s="3"/>
      <c r="P26" s="3">
        <f>(C26-J26)*G26/1000</f>
        <v>17.923999999999999</v>
      </c>
      <c r="Q26" s="3"/>
      <c r="R26" s="3"/>
      <c r="S26" s="3"/>
      <c r="T26" s="3">
        <f>E26+M26+P26</f>
        <v>70.271999999999991</v>
      </c>
      <c r="U26" s="3"/>
      <c r="V26" s="3"/>
      <c r="W26" s="3"/>
      <c r="X26" s="3"/>
      <c r="Y26" s="3"/>
      <c r="Z26" s="3"/>
      <c r="AA26" s="3">
        <f>IF(C26&gt;J26,T26,E26+(F26*C26/1000))</f>
        <v>70.271999999999991</v>
      </c>
      <c r="AB26" s="3">
        <v>0</v>
      </c>
    </row>
    <row r="27" spans="1:28" x14ac:dyDescent="0.25">
      <c r="A27" s="1" t="s">
        <v>62</v>
      </c>
      <c r="C27" s="2">
        <f>Calculator!B$5</f>
        <v>6000</v>
      </c>
      <c r="E27" s="3">
        <v>26</v>
      </c>
      <c r="F27" s="3">
        <v>7.2119999999999997</v>
      </c>
      <c r="G27" s="2">
        <v>10.352</v>
      </c>
      <c r="J27" s="2">
        <v>4000</v>
      </c>
      <c r="M27" s="3">
        <f>J27*F27/1000</f>
        <v>28.847999999999999</v>
      </c>
      <c r="N27" s="3"/>
      <c r="O27" s="3"/>
      <c r="P27" s="3">
        <f>(C27-J27)*G27/1000</f>
        <v>20.704000000000001</v>
      </c>
      <c r="Q27" s="3"/>
      <c r="R27" s="3"/>
      <c r="S27" s="3"/>
      <c r="T27" s="3">
        <f>E27+M27+P27</f>
        <v>75.551999999999992</v>
      </c>
      <c r="U27" s="3"/>
      <c r="V27" s="3"/>
      <c r="W27" s="3"/>
      <c r="X27" s="3"/>
      <c r="Y27" s="3"/>
      <c r="Z27" s="3"/>
      <c r="AA27" s="3">
        <f>IF(C27&gt;J27,T27,E27+(F27*C27/1000))</f>
        <v>75.551999999999992</v>
      </c>
      <c r="AB27" s="3">
        <v>0</v>
      </c>
    </row>
    <row r="28" spans="1:28" x14ac:dyDescent="0.25">
      <c r="A28" s="1" t="s">
        <v>63</v>
      </c>
      <c r="C28" s="2">
        <f>Calculator!B$5</f>
        <v>6000</v>
      </c>
      <c r="E28" s="3">
        <v>16.25</v>
      </c>
      <c r="F28" s="3">
        <v>6</v>
      </c>
      <c r="AA28" s="3">
        <f>E28+(F28*C28)/1000</f>
        <v>52.25</v>
      </c>
      <c r="AB28" s="3">
        <v>0</v>
      </c>
    </row>
    <row r="29" spans="1:28" x14ac:dyDescent="0.25">
      <c r="A29" s="1" t="s">
        <v>64</v>
      </c>
      <c r="C29" s="2">
        <f>Calculator!B$5</f>
        <v>6000</v>
      </c>
      <c r="E29" s="3">
        <v>26</v>
      </c>
      <c r="F29" s="3">
        <v>7.2119999999999997</v>
      </c>
      <c r="G29" s="2">
        <v>10.352</v>
      </c>
      <c r="J29" s="2">
        <v>4000</v>
      </c>
      <c r="M29" s="3">
        <f>J29*F29/1000</f>
        <v>28.847999999999999</v>
      </c>
      <c r="N29" s="3"/>
      <c r="O29" s="3"/>
      <c r="P29" s="3">
        <f>(C29-J29)*G29/1000</f>
        <v>20.704000000000001</v>
      </c>
      <c r="Q29" s="3"/>
      <c r="R29" s="3"/>
      <c r="S29" s="3"/>
      <c r="T29" s="3">
        <f>E29+M29+P29</f>
        <v>75.551999999999992</v>
      </c>
      <c r="U29" s="3"/>
      <c r="V29" s="3"/>
      <c r="W29" s="3"/>
      <c r="X29" s="3"/>
      <c r="Y29" s="3"/>
      <c r="Z29" s="3"/>
      <c r="AA29" s="3">
        <f>IF(C29&gt;J29,T29,E29+(F29*C29/1000))</f>
        <v>75.551999999999992</v>
      </c>
      <c r="AB29" s="3">
        <v>0</v>
      </c>
    </row>
    <row r="30" spans="1:28" x14ac:dyDescent="0.25">
      <c r="A30" s="1" t="s">
        <v>65</v>
      </c>
      <c r="C30" s="2">
        <f>Calculator!B$5</f>
        <v>6000</v>
      </c>
      <c r="E30" s="3">
        <v>26</v>
      </c>
      <c r="F30" s="3">
        <v>7.2119999999999997</v>
      </c>
      <c r="G30" s="2">
        <v>10.352</v>
      </c>
      <c r="J30" s="2">
        <v>4000</v>
      </c>
      <c r="M30" s="3">
        <f>J30*F30/1000</f>
        <v>28.847999999999999</v>
      </c>
      <c r="N30" s="3"/>
      <c r="O30" s="3"/>
      <c r="P30" s="3">
        <f>(C30-J30)*G30/1000</f>
        <v>20.704000000000001</v>
      </c>
      <c r="Q30" s="3"/>
      <c r="R30" s="3"/>
      <c r="S30" s="3"/>
      <c r="T30" s="3">
        <f>E30+M30+P30</f>
        <v>75.551999999999992</v>
      </c>
      <c r="U30" s="3"/>
      <c r="V30" s="3"/>
      <c r="W30" s="3"/>
      <c r="X30" s="3"/>
      <c r="Y30" s="3"/>
      <c r="Z30" s="3"/>
      <c r="AA30" s="3">
        <f>IF(C30&gt;J30,T30,E30+(F30*C30/1000))</f>
        <v>75.551999999999992</v>
      </c>
      <c r="AB30" s="3">
        <v>0</v>
      </c>
    </row>
    <row r="31" spans="1:28" x14ac:dyDescent="0.25">
      <c r="A31" s="1" t="s">
        <v>66</v>
      </c>
      <c r="C31" s="2">
        <f>Calculator!B$5</f>
        <v>6000</v>
      </c>
      <c r="E31" s="3">
        <v>26</v>
      </c>
      <c r="F31" s="3">
        <v>7.2119999999999997</v>
      </c>
      <c r="G31" s="2">
        <v>10.352</v>
      </c>
      <c r="J31" s="2">
        <v>4000</v>
      </c>
      <c r="M31" s="3">
        <f>J31*F31/1000</f>
        <v>28.847999999999999</v>
      </c>
      <c r="N31" s="3"/>
      <c r="O31" s="3"/>
      <c r="P31" s="3">
        <f>(C31-J31)*G31/1000</f>
        <v>20.704000000000001</v>
      </c>
      <c r="Q31" s="3"/>
      <c r="R31" s="3"/>
      <c r="S31" s="3"/>
      <c r="T31" s="3">
        <f>E31+M31+P31</f>
        <v>75.551999999999992</v>
      </c>
      <c r="U31" s="3"/>
      <c r="V31" s="3"/>
      <c r="W31" s="3"/>
      <c r="X31" s="3"/>
      <c r="Y31" s="3"/>
      <c r="Z31" s="3"/>
      <c r="AA31" s="3">
        <f>IF(C31&gt;J31,T31,E31+(F31*C31/1000))</f>
        <v>75.551999999999992</v>
      </c>
      <c r="AB31" s="3">
        <v>0</v>
      </c>
    </row>
    <row r="32" spans="1:28" x14ac:dyDescent="0.25">
      <c r="A32" s="1" t="s">
        <v>67</v>
      </c>
      <c r="C32" s="2">
        <f>Calculator!B$5</f>
        <v>6000</v>
      </c>
      <c r="E32" s="3">
        <v>26</v>
      </c>
      <c r="F32" s="3">
        <v>7.2119999999999997</v>
      </c>
      <c r="G32" s="2">
        <v>10.352</v>
      </c>
      <c r="J32" s="2">
        <v>4000</v>
      </c>
      <c r="M32" s="3">
        <f>J32*F32/1000</f>
        <v>28.847999999999999</v>
      </c>
      <c r="N32" s="3"/>
      <c r="O32" s="3"/>
      <c r="P32" s="3">
        <f>(C32-J32)*G32/1000</f>
        <v>20.704000000000001</v>
      </c>
      <c r="Q32" s="3"/>
      <c r="R32" s="3"/>
      <c r="S32" s="3"/>
      <c r="T32" s="3">
        <f>E32+M32+P32</f>
        <v>75.551999999999992</v>
      </c>
      <c r="U32" s="3"/>
      <c r="V32" s="3"/>
      <c r="W32" s="3"/>
      <c r="X32" s="3"/>
      <c r="Y32" s="3"/>
      <c r="Z32" s="3"/>
      <c r="AA32" s="3">
        <f>IF(C32&gt;J32,T32,E32+(F32*C32/1000))</f>
        <v>75.551999999999992</v>
      </c>
      <c r="AB32" s="3">
        <v>0</v>
      </c>
    </row>
    <row r="33" spans="1:29" x14ac:dyDescent="0.25">
      <c r="A33" s="1" t="s">
        <v>68</v>
      </c>
      <c r="B33" s="8">
        <v>42389</v>
      </c>
      <c r="C33" s="2">
        <f>Calculator!B$5</f>
        <v>6000</v>
      </c>
      <c r="E33" s="3">
        <v>31.72</v>
      </c>
      <c r="F33" s="3">
        <v>3.67</v>
      </c>
      <c r="M33" s="3"/>
      <c r="N33" s="3"/>
      <c r="O33" s="3"/>
      <c r="P33" s="3"/>
      <c r="Q33" s="3"/>
      <c r="R33" s="3"/>
      <c r="S33" s="3"/>
      <c r="T33" s="3"/>
      <c r="U33" s="3"/>
      <c r="V33" s="3"/>
      <c r="W33" s="3"/>
      <c r="X33" s="3"/>
      <c r="Y33" s="3"/>
      <c r="Z33" s="3"/>
      <c r="AA33" s="3">
        <f>E33+(F33*C33)/1000</f>
        <v>53.739999999999995</v>
      </c>
      <c r="AB33" s="3">
        <v>0</v>
      </c>
    </row>
    <row r="34" spans="1:29" x14ac:dyDescent="0.25">
      <c r="A34" s="1" t="s">
        <v>69</v>
      </c>
      <c r="C34" s="2">
        <f>Calculator!B$5</f>
        <v>6000</v>
      </c>
      <c r="E34" s="3">
        <v>12.73</v>
      </c>
      <c r="F34" s="3">
        <v>6.5279999999999996</v>
      </c>
      <c r="AA34" s="3">
        <f>E34+(C34*F34/1000)</f>
        <v>51.897999999999996</v>
      </c>
      <c r="AB34" s="3">
        <f>AA34*3</f>
        <v>155.69399999999999</v>
      </c>
    </row>
    <row r="35" spans="1:29" x14ac:dyDescent="0.25">
      <c r="A35" s="1" t="s">
        <v>70</v>
      </c>
      <c r="B35" s="8">
        <v>42389</v>
      </c>
      <c r="C35" s="2">
        <f>Calculator!B$5</f>
        <v>6000</v>
      </c>
      <c r="E35" s="3">
        <v>13.98</v>
      </c>
      <c r="F35" s="3">
        <v>4.266</v>
      </c>
      <c r="AA35" s="3">
        <f>E35+(F35*C35/1000)</f>
        <v>39.576000000000001</v>
      </c>
      <c r="AB35" s="3">
        <f>AA35*3</f>
        <v>118.72800000000001</v>
      </c>
    </row>
    <row r="36" spans="1:29" x14ac:dyDescent="0.25">
      <c r="A36" s="1" t="s">
        <v>71</v>
      </c>
      <c r="B36" s="8">
        <v>42389</v>
      </c>
      <c r="C36" s="2">
        <f>Calculator!B$5</f>
        <v>6000</v>
      </c>
      <c r="E36" s="3">
        <v>8.25</v>
      </c>
      <c r="F36" s="3">
        <v>4.266</v>
      </c>
      <c r="AA36" s="3">
        <f>E36+(F36*C36/1000)</f>
        <v>33.846000000000004</v>
      </c>
      <c r="AB36" s="3">
        <f>AA36*3</f>
        <v>101.53800000000001</v>
      </c>
    </row>
    <row r="37" spans="1:29" x14ac:dyDescent="0.25">
      <c r="A37" s="1" t="s">
        <v>72</v>
      </c>
      <c r="C37" s="2">
        <f>Calculator!B$5</f>
        <v>6000</v>
      </c>
      <c r="E37" s="3">
        <v>30</v>
      </c>
      <c r="F37" s="3">
        <v>20</v>
      </c>
      <c r="AA37" s="3">
        <v>0</v>
      </c>
      <c r="AB37" s="3">
        <f>E37+(C37*3*F37/1000)</f>
        <v>390</v>
      </c>
    </row>
    <row r="38" spans="1:29" x14ac:dyDescent="0.25">
      <c r="A38" s="1" t="s">
        <v>73</v>
      </c>
      <c r="B38" s="22" t="s">
        <v>42</v>
      </c>
      <c r="C38" s="2">
        <f>Calculator!B$5</f>
        <v>6000</v>
      </c>
      <c r="E38" s="3">
        <v>151.1</v>
      </c>
      <c r="F38" s="3">
        <v>8.1</v>
      </c>
      <c r="M38" s="3"/>
      <c r="N38" s="3"/>
      <c r="O38" s="3"/>
      <c r="P38" s="3"/>
      <c r="Q38" s="3"/>
      <c r="R38" s="3"/>
      <c r="S38" s="3"/>
      <c r="T38" s="3"/>
      <c r="U38" s="3"/>
      <c r="V38" s="3"/>
      <c r="W38" s="3"/>
      <c r="X38" s="3"/>
      <c r="Y38" s="3"/>
      <c r="Z38" s="3"/>
      <c r="AA38" s="3">
        <v>0</v>
      </c>
      <c r="AB38" s="3">
        <f>E38+(F38*C38*3/1000)</f>
        <v>296.89999999999998</v>
      </c>
    </row>
    <row r="39" spans="1:29" x14ac:dyDescent="0.25">
      <c r="A39" s="1" t="s">
        <v>74</v>
      </c>
      <c r="B39" s="12" t="s">
        <v>42</v>
      </c>
      <c r="C39" s="2">
        <f>Calculator!B$5</f>
        <v>6000</v>
      </c>
      <c r="D39" s="1"/>
      <c r="E39" s="3">
        <v>4.96</v>
      </c>
      <c r="F39" s="1">
        <f>1*1.33681</f>
        <v>1.3368100000000001</v>
      </c>
      <c r="G39" s="1">
        <f>0.75*1.33681</f>
        <v>1.0026075000000001</v>
      </c>
      <c r="H39" s="1"/>
      <c r="I39" s="1"/>
      <c r="J39" s="1">
        <f>20000*7.48052</f>
        <v>149610.4</v>
      </c>
      <c r="K39" s="1"/>
      <c r="L39" s="1"/>
      <c r="M39" s="3">
        <f>J39*F39/1000</f>
        <v>200.000678824</v>
      </c>
      <c r="N39" s="3"/>
      <c r="O39" s="3"/>
      <c r="P39" s="3">
        <f t="shared" ref="P39:P45" si="4">(C39-J39)*G39/1000</f>
        <v>-143.98486411799999</v>
      </c>
      <c r="Q39" s="3"/>
      <c r="R39" s="3"/>
      <c r="S39" s="3"/>
      <c r="T39" s="3">
        <f t="shared" ref="T39:T45" si="5">E39+M39+P39</f>
        <v>60.975814706000023</v>
      </c>
      <c r="U39" s="3"/>
      <c r="V39" s="3"/>
      <c r="W39" s="3"/>
      <c r="X39" s="3"/>
      <c r="Y39" s="3"/>
      <c r="Z39" s="3"/>
      <c r="AA39" s="3">
        <f>IF(C39&gt;J39,T39,E39+(F39*C39/1000))</f>
        <v>12.98086</v>
      </c>
      <c r="AB39" s="3">
        <v>0</v>
      </c>
    </row>
    <row r="40" spans="1:29" x14ac:dyDescent="0.25">
      <c r="A40" s="1" t="s">
        <v>75</v>
      </c>
      <c r="B40" s="12" t="s">
        <v>42</v>
      </c>
      <c r="C40" s="2">
        <f>Calculator!B$5</f>
        <v>6000</v>
      </c>
      <c r="D40" s="1"/>
      <c r="E40" s="3">
        <v>18</v>
      </c>
      <c r="F40" s="3">
        <v>3.45</v>
      </c>
      <c r="G40" s="3">
        <v>2.73</v>
      </c>
      <c r="H40" s="3">
        <v>1.57</v>
      </c>
      <c r="J40" s="2">
        <v>10000</v>
      </c>
      <c r="K40" s="2">
        <v>15000</v>
      </c>
      <c r="M40" s="3">
        <f t="shared" ref="M40:N45" si="6">F40*J40/1000</f>
        <v>34.5</v>
      </c>
      <c r="N40" s="3">
        <f t="shared" si="6"/>
        <v>40.950000000000003</v>
      </c>
      <c r="O40" s="3"/>
      <c r="P40" s="3">
        <f t="shared" si="4"/>
        <v>-10.92</v>
      </c>
      <c r="Q40" s="3">
        <f t="shared" ref="Q40:Q45" si="7">(C40-J40-K40)*H40/1000</f>
        <v>-29.83</v>
      </c>
      <c r="R40" s="3"/>
      <c r="S40" s="3">
        <f t="shared" ref="S40:S45" si="8">E40+(C40*F40)/1000</f>
        <v>38.700000000000003</v>
      </c>
      <c r="T40" s="3">
        <f t="shared" si="5"/>
        <v>41.58</v>
      </c>
      <c r="U40" s="3">
        <f t="shared" ref="U40:U45" si="9">E40+M40+N40+Q40</f>
        <v>63.620000000000005</v>
      </c>
      <c r="W40" s="2" t="b">
        <f t="shared" ref="W40:W45" si="10">C40&lt;=J40</f>
        <v>1</v>
      </c>
      <c r="X40" s="2" t="b">
        <f t="shared" ref="X40:X45" si="11">AND(C40&lt;=(J40+K40),C40&gt;J40)</f>
        <v>0</v>
      </c>
      <c r="Y40" s="2" t="b">
        <f>C40&gt;(J40+K40)</f>
        <v>0</v>
      </c>
      <c r="AA40" s="23">
        <f>INDEX(S40:U40,MATCH(AC$4,W40:Y40,0))</f>
        <v>38.700000000000003</v>
      </c>
      <c r="AB40" s="3">
        <v>0</v>
      </c>
    </row>
    <row r="41" spans="1:29" x14ac:dyDescent="0.25">
      <c r="A41" s="1" t="s">
        <v>76</v>
      </c>
      <c r="B41" s="12" t="s">
        <v>42</v>
      </c>
      <c r="C41" s="2">
        <f>Calculator!B$5</f>
        <v>6000</v>
      </c>
      <c r="D41" s="1"/>
      <c r="E41" s="3">
        <v>12</v>
      </c>
      <c r="F41" s="3">
        <v>3.45</v>
      </c>
      <c r="G41" s="3">
        <v>2.73</v>
      </c>
      <c r="H41" s="3">
        <v>1.57</v>
      </c>
      <c r="J41" s="2">
        <v>10000</v>
      </c>
      <c r="K41" s="2">
        <v>15000</v>
      </c>
      <c r="M41" s="3">
        <f t="shared" si="6"/>
        <v>34.5</v>
      </c>
      <c r="N41" s="3">
        <f t="shared" si="6"/>
        <v>40.950000000000003</v>
      </c>
      <c r="O41" s="3"/>
      <c r="P41" s="3">
        <f t="shared" si="4"/>
        <v>-10.92</v>
      </c>
      <c r="Q41" s="3">
        <f t="shared" si="7"/>
        <v>-29.83</v>
      </c>
      <c r="R41" s="3"/>
      <c r="S41" s="3">
        <f t="shared" si="8"/>
        <v>32.700000000000003</v>
      </c>
      <c r="T41" s="3">
        <f t="shared" si="5"/>
        <v>35.58</v>
      </c>
      <c r="U41" s="3">
        <f t="shared" si="9"/>
        <v>57.620000000000005</v>
      </c>
      <c r="W41" s="2" t="b">
        <f t="shared" si="10"/>
        <v>1</v>
      </c>
      <c r="X41" s="2" t="b">
        <f t="shared" si="11"/>
        <v>0</v>
      </c>
      <c r="Y41" s="2" t="b">
        <f>C41&gt;(J41+K41)</f>
        <v>0</v>
      </c>
      <c r="AA41" s="23">
        <f>INDEX(S41:U41,MATCH(AC$4,W41:Y41,0))</f>
        <v>32.700000000000003</v>
      </c>
      <c r="AB41" s="3">
        <v>0</v>
      </c>
    </row>
    <row r="42" spans="1:29" x14ac:dyDescent="0.25">
      <c r="A42" s="1" t="s">
        <v>77</v>
      </c>
      <c r="B42" s="8">
        <v>42389</v>
      </c>
      <c r="C42" s="2">
        <f>Calculator!B$5</f>
        <v>6000</v>
      </c>
      <c r="E42" s="3">
        <v>10.199999999999999</v>
      </c>
      <c r="F42" s="3">
        <v>7.35</v>
      </c>
      <c r="G42" s="3">
        <v>4.59</v>
      </c>
      <c r="H42" s="3">
        <v>1.74</v>
      </c>
      <c r="I42" s="3">
        <v>1.54</v>
      </c>
      <c r="J42" s="2">
        <v>1000</v>
      </c>
      <c r="K42" s="2">
        <v>4000</v>
      </c>
      <c r="L42" s="2">
        <v>45000</v>
      </c>
      <c r="M42" s="3">
        <f t="shared" si="6"/>
        <v>7.35</v>
      </c>
      <c r="N42" s="3">
        <f t="shared" si="6"/>
        <v>18.36</v>
      </c>
      <c r="O42" s="3">
        <f>H42*L42/1000</f>
        <v>78.3</v>
      </c>
      <c r="P42" s="3">
        <f t="shared" si="4"/>
        <v>22.95</v>
      </c>
      <c r="Q42" s="3">
        <f t="shared" si="7"/>
        <v>1.74</v>
      </c>
      <c r="R42" s="3">
        <f>(C42-J42-K42-L42)*I42/1000</f>
        <v>-67.760000000000005</v>
      </c>
      <c r="S42" s="3">
        <f t="shared" si="8"/>
        <v>54.3</v>
      </c>
      <c r="T42" s="3">
        <f t="shared" si="5"/>
        <v>40.5</v>
      </c>
      <c r="U42" s="3">
        <f t="shared" si="9"/>
        <v>37.65</v>
      </c>
      <c r="V42" s="2">
        <f>E42+M42+N42+O42+R42</f>
        <v>46.449999999999989</v>
      </c>
      <c r="W42" s="2" t="b">
        <f t="shared" si="10"/>
        <v>0</v>
      </c>
      <c r="X42" s="2" t="b">
        <f t="shared" si="11"/>
        <v>0</v>
      </c>
      <c r="Y42" s="2" t="b">
        <f>AND(C42&lt;=(J42+K42+L42),C42&gt;J42)</f>
        <v>1</v>
      </c>
      <c r="Z42" s="2" t="b">
        <f>C42&gt;(J42+K42+L42)</f>
        <v>0</v>
      </c>
      <c r="AA42" s="3">
        <f>INDEX(S42:V42,MATCH(AC$4,W42:Z42,0))</f>
        <v>37.65</v>
      </c>
      <c r="AB42" s="3">
        <f>AA42*3</f>
        <v>112.94999999999999</v>
      </c>
    </row>
    <row r="43" spans="1:29" x14ac:dyDescent="0.25">
      <c r="A43" s="1" t="s">
        <v>78</v>
      </c>
      <c r="B43" s="8">
        <v>42389</v>
      </c>
      <c r="C43" s="2">
        <f>Calculator!B$5</f>
        <v>6000</v>
      </c>
      <c r="E43" s="3">
        <v>6.8</v>
      </c>
      <c r="F43" s="3">
        <v>7.35</v>
      </c>
      <c r="G43" s="3">
        <v>4.59</v>
      </c>
      <c r="H43" s="3">
        <v>1.74</v>
      </c>
      <c r="I43" s="3">
        <v>1.54</v>
      </c>
      <c r="J43" s="2">
        <v>1000</v>
      </c>
      <c r="K43" s="2">
        <v>4000</v>
      </c>
      <c r="L43" s="2">
        <v>45000</v>
      </c>
      <c r="M43" s="3">
        <f t="shared" si="6"/>
        <v>7.35</v>
      </c>
      <c r="N43" s="3">
        <f t="shared" si="6"/>
        <v>18.36</v>
      </c>
      <c r="O43" s="3">
        <f>H43*L43/1000</f>
        <v>78.3</v>
      </c>
      <c r="P43" s="3">
        <f t="shared" si="4"/>
        <v>22.95</v>
      </c>
      <c r="Q43" s="3">
        <f t="shared" si="7"/>
        <v>1.74</v>
      </c>
      <c r="R43" s="3">
        <f>(C43-J43-K43-L43)*I43/1000</f>
        <v>-67.760000000000005</v>
      </c>
      <c r="S43" s="3">
        <f t="shared" si="8"/>
        <v>50.9</v>
      </c>
      <c r="T43" s="3">
        <f t="shared" si="5"/>
        <v>37.099999999999994</v>
      </c>
      <c r="U43" s="3">
        <f t="shared" si="9"/>
        <v>34.25</v>
      </c>
      <c r="V43" s="2">
        <f>E43+M43+N43+O43+R43</f>
        <v>43.05</v>
      </c>
      <c r="W43" s="2" t="b">
        <f t="shared" si="10"/>
        <v>0</v>
      </c>
      <c r="X43" s="2" t="b">
        <f t="shared" si="11"/>
        <v>0</v>
      </c>
      <c r="Y43" s="2" t="b">
        <f>AND(C43&lt;=(J43+K43+L43),C43&gt;J43)</f>
        <v>1</v>
      </c>
      <c r="Z43" s="2" t="b">
        <f>C43&gt;(J43+K43+L43)</f>
        <v>0</v>
      </c>
      <c r="AA43" s="3">
        <f>INDEX(S43:V43,MATCH(AC$4,W43:Z43,0))</f>
        <v>34.25</v>
      </c>
      <c r="AB43" s="3">
        <f>AA43*3</f>
        <v>102.75</v>
      </c>
    </row>
    <row r="44" spans="1:29" x14ac:dyDescent="0.25">
      <c r="A44" s="1" t="s">
        <v>79</v>
      </c>
      <c r="B44" s="8">
        <v>42389</v>
      </c>
      <c r="C44" s="2">
        <f>Calculator!B$5</f>
        <v>6000</v>
      </c>
      <c r="E44" s="3">
        <f>14.05+8.18</f>
        <v>22.23</v>
      </c>
      <c r="F44" s="3">
        <v>6.47</v>
      </c>
      <c r="G44" s="3">
        <v>2.4900000000000002</v>
      </c>
      <c r="H44" s="3">
        <v>1.75</v>
      </c>
      <c r="J44" s="2">
        <v>10000</v>
      </c>
      <c r="K44" s="2">
        <v>240000</v>
      </c>
      <c r="M44" s="2">
        <f t="shared" si="6"/>
        <v>64.7</v>
      </c>
      <c r="N44" s="2">
        <f t="shared" si="6"/>
        <v>597.6</v>
      </c>
      <c r="P44" s="2">
        <f t="shared" si="4"/>
        <v>-9.9600000000000009</v>
      </c>
      <c r="Q44" s="2">
        <f t="shared" si="7"/>
        <v>-427</v>
      </c>
      <c r="S44" s="2">
        <f t="shared" si="8"/>
        <v>61.05</v>
      </c>
      <c r="T44" s="2">
        <f t="shared" si="5"/>
        <v>76.97</v>
      </c>
      <c r="U44" s="2">
        <f t="shared" si="9"/>
        <v>257.52999999999997</v>
      </c>
      <c r="W44" s="2" t="b">
        <f t="shared" si="10"/>
        <v>1</v>
      </c>
      <c r="X44" s="2" t="b">
        <f t="shared" si="11"/>
        <v>0</v>
      </c>
      <c r="Y44" s="2" t="b">
        <f>C44&gt;(J44+K44)</f>
        <v>0</v>
      </c>
      <c r="AA44" s="3">
        <f>INDEX(S44:U44,MATCH(AC$4,W44:Y44,0))</f>
        <v>61.05</v>
      </c>
      <c r="AB44" s="3">
        <v>0</v>
      </c>
    </row>
    <row r="45" spans="1:29" x14ac:dyDescent="0.25">
      <c r="A45" s="1" t="s">
        <v>80</v>
      </c>
      <c r="B45" s="8">
        <v>42389</v>
      </c>
      <c r="C45" s="2">
        <f>Calculator!B$5</f>
        <v>6000</v>
      </c>
      <c r="E45" s="3">
        <f>9.35+8.18</f>
        <v>17.53</v>
      </c>
      <c r="F45" s="3">
        <v>6.47</v>
      </c>
      <c r="G45" s="3">
        <v>2.4900000000000002</v>
      </c>
      <c r="H45" s="3">
        <v>1.75</v>
      </c>
      <c r="J45" s="2">
        <v>10000</v>
      </c>
      <c r="K45" s="2">
        <v>240000</v>
      </c>
      <c r="M45" s="2">
        <f t="shared" si="6"/>
        <v>64.7</v>
      </c>
      <c r="N45" s="2">
        <f t="shared" si="6"/>
        <v>597.6</v>
      </c>
      <c r="P45" s="2">
        <f t="shared" si="4"/>
        <v>-9.9600000000000009</v>
      </c>
      <c r="Q45" s="2">
        <f t="shared" si="7"/>
        <v>-427</v>
      </c>
      <c r="S45" s="2">
        <f t="shared" si="8"/>
        <v>56.35</v>
      </c>
      <c r="T45" s="2">
        <f t="shared" si="5"/>
        <v>72.27000000000001</v>
      </c>
      <c r="U45" s="2">
        <f t="shared" si="9"/>
        <v>252.83000000000004</v>
      </c>
      <c r="W45" s="2" t="b">
        <f t="shared" si="10"/>
        <v>1</v>
      </c>
      <c r="X45" s="2" t="b">
        <f t="shared" si="11"/>
        <v>0</v>
      </c>
      <c r="Y45" s="2" t="b">
        <f>C45&gt;(J45+K45)</f>
        <v>0</v>
      </c>
      <c r="AA45" s="3">
        <f>INDEX(S45:U45,MATCH(AC$4,W45:Y45,0))</f>
        <v>56.35</v>
      </c>
      <c r="AB45" s="3">
        <v>0</v>
      </c>
    </row>
    <row r="46" spans="1:29" x14ac:dyDescent="0.25">
      <c r="A46" s="1" t="s">
        <v>81</v>
      </c>
      <c r="C46" s="2">
        <f>Calculator!B$5</f>
        <v>6000</v>
      </c>
      <c r="E46" s="3">
        <v>15.06</v>
      </c>
      <c r="F46" s="3">
        <v>3.98</v>
      </c>
      <c r="AA46" s="3">
        <f>E46+(C46*F46/1000)</f>
        <v>38.94</v>
      </c>
      <c r="AB46" s="3">
        <v>0</v>
      </c>
    </row>
    <row r="47" spans="1:29" x14ac:dyDescent="0.25">
      <c r="A47" s="1" t="s">
        <v>82</v>
      </c>
      <c r="C47" s="2">
        <f>Calculator!B$5</f>
        <v>6000</v>
      </c>
      <c r="E47" s="3">
        <v>25.25</v>
      </c>
      <c r="F47" s="3">
        <v>4.6100000000000003</v>
      </c>
      <c r="AA47" s="3">
        <f>E47+(C47*F47/1000)</f>
        <v>52.910000000000004</v>
      </c>
      <c r="AB47" s="3">
        <v>0</v>
      </c>
      <c r="AC47" s="1"/>
    </row>
    <row r="48" spans="1:29" x14ac:dyDescent="0.25">
      <c r="A48" s="1" t="s">
        <v>83</v>
      </c>
      <c r="C48" s="2">
        <f>Calculator!B$5</f>
        <v>6000</v>
      </c>
      <c r="E48" s="3">
        <v>16.829999999999998</v>
      </c>
      <c r="F48" s="3">
        <v>4.6100000000000003</v>
      </c>
      <c r="AA48" s="3">
        <f>E48+(C48*F48/1000)</f>
        <v>44.49</v>
      </c>
      <c r="AB48" s="3">
        <v>0</v>
      </c>
    </row>
    <row r="49" spans="1:29" x14ac:dyDescent="0.25">
      <c r="A49" s="1" t="s">
        <v>84</v>
      </c>
      <c r="C49" s="2">
        <f>Calculator!B$5</f>
        <v>6000</v>
      </c>
      <c r="AA49" s="3">
        <v>14.39</v>
      </c>
      <c r="AB49" s="3">
        <v>43.18</v>
      </c>
      <c r="AC49" s="24"/>
    </row>
    <row r="50" spans="1:29" x14ac:dyDescent="0.25">
      <c r="A50" s="1" t="s">
        <v>85</v>
      </c>
      <c r="B50" s="8">
        <v>42443</v>
      </c>
      <c r="C50" s="2">
        <f>Calculator!B$5</f>
        <v>6000</v>
      </c>
      <c r="E50" s="3">
        <v>26.33</v>
      </c>
      <c r="F50" s="3">
        <v>5.68</v>
      </c>
      <c r="AA50" s="3">
        <f>E50+(F50*C50)/1000</f>
        <v>60.41</v>
      </c>
      <c r="AB50" s="3">
        <v>0</v>
      </c>
    </row>
    <row r="51" spans="1:29" x14ac:dyDescent="0.25">
      <c r="A51" s="1" t="s">
        <v>86</v>
      </c>
      <c r="B51" s="8">
        <v>42443</v>
      </c>
      <c r="C51" s="2">
        <f>Calculator!B$5</f>
        <v>6000</v>
      </c>
      <c r="E51" s="3">
        <v>17.55</v>
      </c>
      <c r="F51" s="3">
        <v>5.68</v>
      </c>
      <c r="AA51" s="3">
        <f>E51+(F51*C51)/1000</f>
        <v>51.629999999999995</v>
      </c>
      <c r="AB51" s="3">
        <v>0</v>
      </c>
    </row>
    <row r="52" spans="1:29" x14ac:dyDescent="0.25">
      <c r="A52" s="1" t="s">
        <v>87</v>
      </c>
      <c r="B52" s="8">
        <v>42444</v>
      </c>
      <c r="C52" s="2">
        <f>Calculator!B$5</f>
        <v>6000</v>
      </c>
      <c r="E52" s="3">
        <v>16.88</v>
      </c>
      <c r="F52" s="3">
        <v>11.51</v>
      </c>
      <c r="G52" s="3">
        <v>9.8699999999999992</v>
      </c>
      <c r="H52" s="3">
        <v>7.84</v>
      </c>
      <c r="J52" s="2">
        <v>10000</v>
      </c>
      <c r="K52" s="2">
        <v>110000</v>
      </c>
      <c r="M52" s="2">
        <f>F52*J52/1000</f>
        <v>115.1</v>
      </c>
      <c r="N52" s="2">
        <f>G52*K52/1000</f>
        <v>1085.7</v>
      </c>
      <c r="P52" s="2">
        <f>(C52-J52)*G52/1000</f>
        <v>-39.479999999999997</v>
      </c>
      <c r="Q52" s="2">
        <f>(C52-J52-K52)*H52/1000</f>
        <v>-893.76</v>
      </c>
      <c r="S52" s="2">
        <f>E52+(C52*F52)/1000</f>
        <v>85.94</v>
      </c>
      <c r="T52" s="2">
        <f>E52+M52+P52</f>
        <v>92.5</v>
      </c>
      <c r="U52" s="2">
        <f>E52+M52+N52+Q52</f>
        <v>323.92000000000007</v>
      </c>
      <c r="W52" s="2" t="b">
        <f>C52&lt;=J52</f>
        <v>1</v>
      </c>
      <c r="X52" s="2" t="b">
        <f>AND(C52&lt;=(J52+K52),C52&gt;J52)</f>
        <v>0</v>
      </c>
      <c r="Y52" s="2" t="b">
        <f>C52&gt;(J52+K52)</f>
        <v>0</v>
      </c>
      <c r="AA52" s="3">
        <f>INDEX(S52:U52,MATCH(AC$4,W52:Y52,0))</f>
        <v>85.94</v>
      </c>
      <c r="AB52" s="3">
        <v>0</v>
      </c>
      <c r="AC52" s="25"/>
    </row>
    <row r="53" spans="1:29" x14ac:dyDescent="0.25">
      <c r="A53" s="1" t="s">
        <v>88</v>
      </c>
      <c r="B53" s="8">
        <v>42443</v>
      </c>
      <c r="C53" s="2">
        <f>Calculator!B$5</f>
        <v>6000</v>
      </c>
      <c r="E53" s="3">
        <v>5</v>
      </c>
      <c r="F53" s="3">
        <v>2.9</v>
      </c>
      <c r="G53" s="3"/>
      <c r="H53" s="3"/>
      <c r="AA53" s="3">
        <f>E53+(F53*C53)/1000</f>
        <v>22.4</v>
      </c>
      <c r="AB53" s="3">
        <v>0</v>
      </c>
      <c r="AC53" s="25"/>
    </row>
    <row r="54" spans="1:29" x14ac:dyDescent="0.25">
      <c r="A54" s="1" t="s">
        <v>89</v>
      </c>
      <c r="C54" s="2">
        <f>Calculator!B$5</f>
        <v>6000</v>
      </c>
      <c r="AA54" s="3">
        <v>15</v>
      </c>
      <c r="AB54" s="3">
        <v>0</v>
      </c>
    </row>
    <row r="55" spans="1:29" x14ac:dyDescent="0.25">
      <c r="A55" s="1" t="s">
        <v>90</v>
      </c>
      <c r="B55" s="12" t="s">
        <v>42</v>
      </c>
      <c r="C55" s="2">
        <f>Calculator!B$5</f>
        <v>6000</v>
      </c>
      <c r="D55" s="1"/>
      <c r="E55" s="1"/>
      <c r="F55" s="1">
        <v>5.85</v>
      </c>
      <c r="G55" s="3">
        <v>0.65</v>
      </c>
      <c r="J55" s="2">
        <v>9000</v>
      </c>
      <c r="K55" s="1"/>
      <c r="M55" s="3">
        <f>IF(C55&lt;=J55,(C55*F55/1000),(9*F55))</f>
        <v>35.1</v>
      </c>
      <c r="N55" s="3">
        <f>IF(C55&lt;=J55,0,((C55-J55)*G55/1000))</f>
        <v>0</v>
      </c>
      <c r="P55" s="1"/>
      <c r="S55" s="2">
        <f>C55*F55/1000</f>
        <v>35.1</v>
      </c>
      <c r="U55" s="1"/>
      <c r="Z55" s="1"/>
      <c r="AA55" s="26">
        <f>SUM(M55:N55)</f>
        <v>35.1</v>
      </c>
      <c r="AB55" s="3">
        <v>0</v>
      </c>
    </row>
    <row r="56" spans="1:29" x14ac:dyDescent="0.25">
      <c r="A56" s="1" t="s">
        <v>91</v>
      </c>
      <c r="B56" s="22" t="s">
        <v>42</v>
      </c>
      <c r="C56" s="2">
        <f>Calculator!B$5</f>
        <v>6000</v>
      </c>
      <c r="E56" s="3">
        <v>6.5</v>
      </c>
      <c r="F56" s="3">
        <v>7.8</v>
      </c>
      <c r="G56" s="9"/>
      <c r="H56" s="9"/>
      <c r="M56" s="3"/>
      <c r="N56" s="3"/>
      <c r="O56" s="3"/>
      <c r="P56" s="3"/>
      <c r="Q56" s="3"/>
      <c r="R56" s="3"/>
      <c r="S56" s="3"/>
      <c r="T56" s="3"/>
      <c r="U56" s="3"/>
      <c r="V56" s="3"/>
      <c r="W56" s="3"/>
      <c r="X56" s="3"/>
      <c r="Y56" s="3"/>
      <c r="Z56" s="3"/>
      <c r="AA56" s="3">
        <f>E56+(F56*C56/1000)</f>
        <v>53.3</v>
      </c>
      <c r="AB56" s="3">
        <v>0</v>
      </c>
    </row>
    <row r="57" spans="1:29" x14ac:dyDescent="0.25">
      <c r="A57" s="1" t="s">
        <v>92</v>
      </c>
      <c r="B57" s="8">
        <v>43088</v>
      </c>
      <c r="C57" s="2">
        <f>Calculator!B$5</f>
        <v>6000</v>
      </c>
      <c r="E57" s="3">
        <v>7</v>
      </c>
      <c r="F57" s="3">
        <v>5.5</v>
      </c>
      <c r="G57" s="3">
        <v>4.1399999999999997</v>
      </c>
      <c r="H57" s="3"/>
      <c r="I57" s="3"/>
      <c r="J57" s="2">
        <v>100000</v>
      </c>
      <c r="M57" s="3">
        <f>J57*F57/1000</f>
        <v>550</v>
      </c>
      <c r="N57" s="3"/>
      <c r="O57" s="3"/>
      <c r="P57" s="3">
        <f>(C57-J57)*G57/1000</f>
        <v>-389.15999999999997</v>
      </c>
      <c r="Q57" s="3"/>
      <c r="R57" s="3"/>
      <c r="S57" s="3"/>
      <c r="T57" s="3">
        <f>E57+M57+P57</f>
        <v>167.84000000000003</v>
      </c>
      <c r="U57" s="3"/>
      <c r="V57" s="3"/>
      <c r="W57" s="3"/>
      <c r="X57" s="3"/>
      <c r="Y57" s="3"/>
      <c r="Z57" s="3"/>
      <c r="AA57" s="3">
        <f>IF(C57&gt;J57,T57,E57+(F57*C57/1000))</f>
        <v>40</v>
      </c>
      <c r="AB57" s="3">
        <v>0</v>
      </c>
      <c r="AC57" s="24"/>
    </row>
    <row r="58" spans="1:29" x14ac:dyDescent="0.25">
      <c r="A58" s="1" t="s">
        <v>93</v>
      </c>
      <c r="B58" s="12" t="s">
        <v>42</v>
      </c>
      <c r="C58" s="2">
        <f>Calculator!B$5</f>
        <v>6000</v>
      </c>
      <c r="D58" s="1"/>
      <c r="E58" s="3">
        <v>30</v>
      </c>
      <c r="F58" s="3">
        <v>4</v>
      </c>
      <c r="G58" s="3">
        <v>1.7</v>
      </c>
      <c r="H58" s="3">
        <v>1</v>
      </c>
      <c r="J58" s="2">
        <v>7500</v>
      </c>
      <c r="K58" s="2">
        <v>49500</v>
      </c>
      <c r="M58" s="3">
        <f>F58*J58/1000</f>
        <v>30</v>
      </c>
      <c r="N58" s="3">
        <f>G58*K58/1000</f>
        <v>84.15</v>
      </c>
      <c r="O58" s="3"/>
      <c r="P58" s="3">
        <f>((C58*3)-J58)*G58/1000</f>
        <v>17.850000000000001</v>
      </c>
      <c r="Q58" s="3">
        <f>((C58*3)-J58-K58)*H58/1000</f>
        <v>-39</v>
      </c>
      <c r="R58" s="3"/>
      <c r="S58" s="3">
        <f>E58+(C58*3*F58)/1000</f>
        <v>102</v>
      </c>
      <c r="T58" s="3">
        <f>E58+M58+P58</f>
        <v>77.849999999999994</v>
      </c>
      <c r="U58" s="3">
        <f>E58+M58+N58+Q58</f>
        <v>105.15</v>
      </c>
      <c r="W58" s="2" t="b">
        <f>C58*3&lt;=J58</f>
        <v>0</v>
      </c>
      <c r="X58" s="2" t="b">
        <f>AND(C58*3&lt;=(J58+K58),C58*3&gt;J58)</f>
        <v>1</v>
      </c>
      <c r="Y58" s="2" t="b">
        <f>C58*3&gt;(J58+K58)</f>
        <v>0</v>
      </c>
      <c r="AA58" s="23">
        <v>0</v>
      </c>
      <c r="AB58" s="3">
        <f>INDEX(S58:U58,MATCH(AC$4,W58:Y58,0))</f>
        <v>77.849999999999994</v>
      </c>
      <c r="AC58" s="24"/>
    </row>
    <row r="59" spans="1:29" x14ac:dyDescent="0.25">
      <c r="A59" s="1" t="s">
        <v>94</v>
      </c>
      <c r="C59" s="2">
        <f>Calculator!B$5</f>
        <v>6000</v>
      </c>
      <c r="E59" s="3">
        <v>6</v>
      </c>
      <c r="F59" s="3">
        <v>6.26</v>
      </c>
      <c r="AA59" s="3">
        <f>E59+(C59*F59/1000)</f>
        <v>43.56</v>
      </c>
      <c r="AB59" s="3">
        <v>0</v>
      </c>
      <c r="AC59" s="24"/>
    </row>
    <row r="60" spans="1:29" x14ac:dyDescent="0.25">
      <c r="A60" s="1" t="s">
        <v>95</v>
      </c>
      <c r="B60" s="8">
        <v>42389</v>
      </c>
      <c r="C60" s="2">
        <f>Calculator!B$5</f>
        <v>6000</v>
      </c>
      <c r="E60" s="3">
        <v>13.8</v>
      </c>
      <c r="F60" s="3">
        <v>5.2</v>
      </c>
      <c r="AA60" s="3">
        <v>0</v>
      </c>
      <c r="AB60" s="3">
        <f>E60+(F60*C60*3/1000)</f>
        <v>107.39999999999999</v>
      </c>
    </row>
    <row r="61" spans="1:29" x14ac:dyDescent="0.25">
      <c r="A61" s="1" t="s">
        <v>96</v>
      </c>
      <c r="B61" s="8">
        <v>42389</v>
      </c>
      <c r="C61" s="2">
        <f>Calculator!B$5</f>
        <v>6000</v>
      </c>
      <c r="D61" s="2">
        <f>C61*0.133681*3</f>
        <v>2406.2579999999998</v>
      </c>
      <c r="E61" s="3">
        <v>54</v>
      </c>
      <c r="F61" s="3">
        <v>9.0399999999999991</v>
      </c>
      <c r="G61" s="3">
        <v>6.01</v>
      </c>
      <c r="H61" s="3">
        <v>4.18</v>
      </c>
      <c r="J61" s="2">
        <v>3000</v>
      </c>
      <c r="K61" s="2">
        <v>30000</v>
      </c>
      <c r="M61" s="2">
        <f>F61*J61/100</f>
        <v>271.2</v>
      </c>
      <c r="N61" s="2">
        <f>G61*K61/100</f>
        <v>1803</v>
      </c>
      <c r="P61" s="2">
        <f>(D61-J61)*G61/100</f>
        <v>-35.683894200000012</v>
      </c>
      <c r="Q61" s="2">
        <f>((D61-J61-K61)*H61)/100</f>
        <v>-1278.8184155999998</v>
      </c>
      <c r="S61" s="2">
        <f>E61+(D61*F61/100)</f>
        <v>271.52572319999996</v>
      </c>
      <c r="T61" s="2">
        <f>E61+M61+P61</f>
        <v>289.51610579999999</v>
      </c>
      <c r="U61" s="2">
        <f>E61+M61+N61+Q61</f>
        <v>849.38158440000007</v>
      </c>
      <c r="W61" s="2" t="b">
        <f>D61&lt;=J61</f>
        <v>1</v>
      </c>
      <c r="X61" s="2" t="b">
        <f>AND(D61&lt;=(J61+K61),D61&gt;J61)</f>
        <v>0</v>
      </c>
      <c r="Y61" s="2" t="b">
        <f>D61&gt;(J61+K61)</f>
        <v>0</v>
      </c>
      <c r="AA61" s="3">
        <v>0</v>
      </c>
      <c r="AB61" s="3">
        <f>INDEX(S61:U61,MATCH(AC$4,W61:Y61,0))</f>
        <v>271.52572319999996</v>
      </c>
    </row>
    <row r="62" spans="1:29" x14ac:dyDescent="0.25">
      <c r="A62" s="1" t="s">
        <v>97</v>
      </c>
      <c r="B62" s="8">
        <v>42389</v>
      </c>
      <c r="C62" s="2">
        <f>Calculator!B$5</f>
        <v>6000</v>
      </c>
      <c r="D62" s="2">
        <f>C62*0.133681*3</f>
        <v>2406.2579999999998</v>
      </c>
      <c r="E62" s="3">
        <v>36</v>
      </c>
      <c r="F62" s="3">
        <v>9.0399999999999991</v>
      </c>
      <c r="G62" s="3">
        <v>6.01</v>
      </c>
      <c r="H62" s="3">
        <v>4.18</v>
      </c>
      <c r="J62" s="2">
        <v>3000</v>
      </c>
      <c r="K62" s="2">
        <v>30000</v>
      </c>
      <c r="M62" s="2">
        <f>F62*J62/100</f>
        <v>271.2</v>
      </c>
      <c r="N62" s="2">
        <f>G62*K62/100</f>
        <v>1803</v>
      </c>
      <c r="P62" s="2">
        <f>(D62-J62)*G62/100</f>
        <v>-35.683894200000012</v>
      </c>
      <c r="Q62" s="2">
        <f>((D62-J62-K62)*H62)/100</f>
        <v>-1278.8184155999998</v>
      </c>
      <c r="S62" s="2">
        <f>E62+(D62*F62/100)</f>
        <v>253.52572319999996</v>
      </c>
      <c r="T62" s="2">
        <f>E62+M62+P62</f>
        <v>271.51610579999999</v>
      </c>
      <c r="U62" s="2">
        <f>E62+M62+N62+Q62</f>
        <v>831.38158440000007</v>
      </c>
      <c r="W62" s="2" t="b">
        <f>D62&lt;=J62</f>
        <v>1</v>
      </c>
      <c r="X62" s="2" t="b">
        <f>AND(D62&lt;=(J62+K62),D62&gt;J62)</f>
        <v>0</v>
      </c>
      <c r="Y62" s="2" t="b">
        <f>D62&gt;(J62+K62)</f>
        <v>0</v>
      </c>
      <c r="AA62" s="3">
        <v>0</v>
      </c>
      <c r="AB62" s="3">
        <f>INDEX(S62:U62,MATCH(AC$4,W62:Y62,0))</f>
        <v>253.52572319999996</v>
      </c>
      <c r="AC62" s="1"/>
    </row>
    <row r="63" spans="1:29" x14ac:dyDescent="0.25">
      <c r="A63" s="1" t="s">
        <v>98</v>
      </c>
      <c r="C63" s="2">
        <f>Calculator!B$5</f>
        <v>6000</v>
      </c>
      <c r="E63" s="3">
        <v>19.5</v>
      </c>
      <c r="F63" s="3">
        <v>4.25</v>
      </c>
      <c r="J63" s="2">
        <v>3000</v>
      </c>
      <c r="AA63" s="3">
        <f>IF(C63&lt;=J63,E63,(E63+(C63-J63)*F63/1000))</f>
        <v>32.25</v>
      </c>
      <c r="AB63" s="3">
        <v>0</v>
      </c>
      <c r="AC63" s="1"/>
    </row>
    <row r="64" spans="1:29" x14ac:dyDescent="0.25">
      <c r="A64" s="1" t="s">
        <v>99</v>
      </c>
      <c r="B64" s="22" t="s">
        <v>42</v>
      </c>
      <c r="C64" s="2">
        <f>Calculator!B$5</f>
        <v>6000</v>
      </c>
      <c r="E64" s="3">
        <v>20</v>
      </c>
      <c r="M64" s="3"/>
      <c r="N64" s="3"/>
      <c r="O64" s="3"/>
      <c r="P64" s="3"/>
      <c r="Q64" s="3"/>
      <c r="R64" s="3"/>
      <c r="S64" s="3"/>
      <c r="T64" s="3"/>
      <c r="U64" s="3"/>
      <c r="V64" s="3"/>
      <c r="W64" s="3"/>
      <c r="X64" s="3"/>
      <c r="Y64" s="3"/>
      <c r="Z64" s="3"/>
      <c r="AA64" s="3">
        <f>E64+(F64*C64/1000)</f>
        <v>20</v>
      </c>
      <c r="AB64" s="3">
        <v>0</v>
      </c>
      <c r="AC64" s="1"/>
    </row>
    <row r="65" spans="1:29" x14ac:dyDescent="0.25">
      <c r="A65" s="1" t="s">
        <v>100</v>
      </c>
      <c r="B65" s="8">
        <v>42443</v>
      </c>
      <c r="C65" s="2">
        <f>Calculator!B$5</f>
        <v>6000</v>
      </c>
      <c r="E65" s="3">
        <v>29.96</v>
      </c>
      <c r="F65" s="3">
        <v>11.18</v>
      </c>
      <c r="AA65" s="3">
        <f>E65+(F65*C65)/1000</f>
        <v>97.039999999999992</v>
      </c>
      <c r="AB65" s="3">
        <v>0</v>
      </c>
      <c r="AC65" s="1"/>
    </row>
    <row r="66" spans="1:29" x14ac:dyDescent="0.25">
      <c r="A66" s="1" t="s">
        <v>101</v>
      </c>
      <c r="B66" s="8">
        <v>42443</v>
      </c>
      <c r="C66" s="2">
        <f>Calculator!B$5</f>
        <v>6000</v>
      </c>
      <c r="E66" s="3">
        <v>19.97</v>
      </c>
      <c r="F66" s="3">
        <v>11.18</v>
      </c>
      <c r="AA66" s="3">
        <f>E66+(F66*C66)/1000</f>
        <v>87.05</v>
      </c>
      <c r="AB66" s="3">
        <v>0</v>
      </c>
      <c r="AC66" s="24"/>
    </row>
    <row r="67" spans="1:29" x14ac:dyDescent="0.25">
      <c r="A67" s="1" t="s">
        <v>102</v>
      </c>
      <c r="B67" s="22" t="s">
        <v>42</v>
      </c>
      <c r="C67" s="2">
        <f>Calculator!B$5</f>
        <v>6000</v>
      </c>
      <c r="E67" s="3">
        <v>21</v>
      </c>
      <c r="M67" s="3"/>
      <c r="N67" s="3"/>
      <c r="O67" s="3"/>
      <c r="P67" s="3"/>
      <c r="Q67" s="3"/>
      <c r="R67" s="3"/>
      <c r="S67" s="3"/>
      <c r="T67" s="3"/>
      <c r="U67" s="3"/>
      <c r="V67" s="3"/>
      <c r="W67" s="3"/>
      <c r="X67" s="3"/>
      <c r="Y67" s="3"/>
      <c r="Z67" s="3"/>
      <c r="AA67" s="3">
        <f>E67+(F67*C67/1000)</f>
        <v>21</v>
      </c>
      <c r="AB67" s="3">
        <v>0</v>
      </c>
      <c r="AC67" s="24"/>
    </row>
    <row r="68" spans="1:29" x14ac:dyDescent="0.25">
      <c r="A68" s="1" t="s">
        <v>103</v>
      </c>
      <c r="B68" s="8">
        <v>42388</v>
      </c>
      <c r="C68" s="2">
        <f>Calculator!B$5</f>
        <v>6000</v>
      </c>
      <c r="E68" s="3">
        <v>36.72</v>
      </c>
      <c r="F68" s="3">
        <v>3.8540000000000001</v>
      </c>
      <c r="G68" s="21"/>
      <c r="H68" s="21"/>
      <c r="I68" s="21"/>
      <c r="J68" s="21"/>
      <c r="K68" s="21"/>
      <c r="L68" s="21"/>
      <c r="M68" s="21"/>
      <c r="N68" s="21"/>
      <c r="O68" s="21"/>
      <c r="P68" s="21"/>
      <c r="Q68" s="21"/>
      <c r="R68" s="21"/>
      <c r="S68" s="21"/>
      <c r="T68" s="21"/>
      <c r="U68" s="21"/>
      <c r="V68" s="21"/>
      <c r="W68" s="21"/>
      <c r="X68" s="21"/>
      <c r="Y68" s="21"/>
      <c r="Z68" s="21"/>
      <c r="AA68" s="3">
        <v>0</v>
      </c>
      <c r="AB68" s="3">
        <f>E68+(C68*3*F68/1000)</f>
        <v>106.092</v>
      </c>
      <c r="AC68" s="24"/>
    </row>
    <row r="69" spans="1:29" x14ac:dyDescent="0.25">
      <c r="A69" s="1" t="s">
        <v>104</v>
      </c>
      <c r="B69" s="8">
        <v>42388</v>
      </c>
      <c r="C69" s="2">
        <f>Calculator!B$5</f>
        <v>6000</v>
      </c>
      <c r="E69" s="3">
        <v>26.55</v>
      </c>
      <c r="F69" s="3">
        <v>3.8540000000000001</v>
      </c>
      <c r="G69" s="21"/>
      <c r="H69" s="21"/>
      <c r="I69" s="21"/>
      <c r="J69" s="21"/>
      <c r="K69" s="21"/>
      <c r="L69" s="21"/>
      <c r="M69" s="21"/>
      <c r="N69" s="21"/>
      <c r="O69" s="21"/>
      <c r="P69" s="21"/>
      <c r="Q69" s="21"/>
      <c r="R69" s="21"/>
      <c r="S69" s="21"/>
      <c r="T69" s="21"/>
      <c r="U69" s="21"/>
      <c r="V69" s="21"/>
      <c r="W69" s="21"/>
      <c r="X69" s="21"/>
      <c r="Y69" s="21"/>
      <c r="Z69" s="21"/>
      <c r="AA69" s="3">
        <v>0</v>
      </c>
      <c r="AB69" s="3">
        <f>E69+(C69*3*F69/1000)</f>
        <v>95.921999999999997</v>
      </c>
      <c r="AC69" s="24"/>
    </row>
    <row r="70" spans="1:29" x14ac:dyDescent="0.25">
      <c r="A70" s="1" t="s">
        <v>105</v>
      </c>
      <c r="B70" s="12" t="s">
        <v>42</v>
      </c>
      <c r="C70" s="2">
        <f>Calculator!B$5</f>
        <v>6000</v>
      </c>
      <c r="D70" s="1"/>
      <c r="E70" s="3">
        <v>12</v>
      </c>
      <c r="F70" s="1">
        <v>6.97</v>
      </c>
      <c r="G70" s="1">
        <v>5.75</v>
      </c>
      <c r="H70" s="1"/>
      <c r="I70" s="1"/>
      <c r="J70" s="1">
        <v>30000</v>
      </c>
      <c r="K70" s="1"/>
      <c r="L70" s="1"/>
      <c r="M70" s="3">
        <f>J70*F70/1000</f>
        <v>209.1</v>
      </c>
      <c r="N70" s="3"/>
      <c r="O70" s="3"/>
      <c r="P70" s="3">
        <f>((C70*3)-J70)*G70/1000</f>
        <v>-69</v>
      </c>
      <c r="Q70" s="3"/>
      <c r="R70" s="3"/>
      <c r="S70" s="3"/>
      <c r="T70" s="3">
        <f>E70+M70+P70</f>
        <v>152.1</v>
      </c>
      <c r="U70" s="3"/>
      <c r="V70" s="3"/>
      <c r="W70" s="3"/>
      <c r="X70" s="3"/>
      <c r="Y70" s="3"/>
      <c r="Z70" s="3"/>
      <c r="AA70" s="3">
        <v>0</v>
      </c>
      <c r="AB70" s="3">
        <f>IF((C70*3)&gt;J70,T70,E70+(F70*C70*3/1000))</f>
        <v>137.45999999999998</v>
      </c>
      <c r="AC70" s="24"/>
    </row>
    <row r="71" spans="1:29" x14ac:dyDescent="0.25">
      <c r="A71" s="1" t="s">
        <v>106</v>
      </c>
      <c r="B71" s="22" t="s">
        <v>42</v>
      </c>
      <c r="C71" s="2">
        <f>Calculator!B$5</f>
        <v>6000</v>
      </c>
      <c r="E71" s="3">
        <v>12</v>
      </c>
      <c r="AA71" s="3">
        <f>E71+(F71*C71/1000)</f>
        <v>12</v>
      </c>
      <c r="AB71" s="3">
        <v>0</v>
      </c>
      <c r="AC71" s="24"/>
    </row>
    <row r="72" spans="1:29" x14ac:dyDescent="0.25">
      <c r="A72" s="1" t="s">
        <v>107</v>
      </c>
      <c r="B72" s="22" t="s">
        <v>42</v>
      </c>
      <c r="C72" s="2">
        <f>Calculator!B$5</f>
        <v>6000</v>
      </c>
      <c r="E72" s="3">
        <v>18.100000000000001</v>
      </c>
      <c r="F72" s="3">
        <v>6.8090000000000002</v>
      </c>
      <c r="AA72" s="3">
        <f>E72+(F72*C72/1000)</f>
        <v>58.954000000000001</v>
      </c>
      <c r="AB72" s="3">
        <v>0</v>
      </c>
      <c r="AC72" s="24"/>
    </row>
    <row r="73" spans="1:29" x14ac:dyDescent="0.25">
      <c r="A73" s="1" t="s">
        <v>108</v>
      </c>
      <c r="B73" s="22" t="s">
        <v>42</v>
      </c>
      <c r="C73" s="2">
        <f>Calculator!B$5</f>
        <v>6000</v>
      </c>
      <c r="E73" s="3">
        <v>12</v>
      </c>
      <c r="F73" s="3">
        <v>6.8090000000000002</v>
      </c>
      <c r="AA73" s="3">
        <f>E73+(F73*C73/1000)</f>
        <v>52.853999999999999</v>
      </c>
      <c r="AB73" s="3">
        <v>0</v>
      </c>
      <c r="AC73" s="24"/>
    </row>
    <row r="74" spans="1:29" x14ac:dyDescent="0.25">
      <c r="A74" s="1" t="s">
        <v>109</v>
      </c>
      <c r="B74" s="22" t="s">
        <v>42</v>
      </c>
      <c r="C74" s="2">
        <f>Calculator!B$5</f>
        <v>6000</v>
      </c>
      <c r="F74" s="3">
        <v>5.71</v>
      </c>
      <c r="AA74" s="3">
        <f>E74+(F74*C74/1000)</f>
        <v>34.26</v>
      </c>
      <c r="AB74" s="3">
        <v>0</v>
      </c>
      <c r="AC74" s="24"/>
    </row>
    <row r="75" spans="1:29" x14ac:dyDescent="0.25">
      <c r="A75" s="1" t="s">
        <v>110</v>
      </c>
      <c r="B75" s="22" t="s">
        <v>42</v>
      </c>
      <c r="C75" s="2">
        <f>Calculator!B$5</f>
        <v>6000</v>
      </c>
      <c r="E75" s="3">
        <v>25</v>
      </c>
      <c r="AA75" s="3">
        <f>E75+(F75*C75/1000)</f>
        <v>25</v>
      </c>
      <c r="AB75" s="3">
        <v>0</v>
      </c>
      <c r="AC75" s="24"/>
    </row>
    <row r="76" spans="1:29" x14ac:dyDescent="0.25">
      <c r="A76" s="1" t="s">
        <v>111</v>
      </c>
      <c r="C76" s="2">
        <f>Calculator!B$5</f>
        <v>6000</v>
      </c>
      <c r="E76" s="3">
        <v>30</v>
      </c>
      <c r="F76" s="3">
        <v>4.57</v>
      </c>
      <c r="G76" s="3"/>
      <c r="H76" s="3"/>
      <c r="I76" s="3"/>
      <c r="J76" s="3"/>
      <c r="K76" s="3"/>
      <c r="L76" s="3"/>
      <c r="M76" s="3"/>
      <c r="N76" s="3"/>
      <c r="O76" s="3"/>
      <c r="P76" s="3"/>
      <c r="Q76" s="3"/>
      <c r="R76" s="3"/>
      <c r="S76" s="3"/>
      <c r="T76" s="3"/>
      <c r="U76" s="3"/>
      <c r="V76" s="3"/>
      <c r="W76" s="3"/>
      <c r="X76" s="3"/>
      <c r="Y76" s="3"/>
      <c r="Z76" s="3"/>
      <c r="AA76" s="3">
        <v>0</v>
      </c>
      <c r="AB76" s="3">
        <f>E76+(C76*3*F76/1000)</f>
        <v>112.26</v>
      </c>
      <c r="AC76" s="24"/>
    </row>
    <row r="77" spans="1:29" x14ac:dyDescent="0.25">
      <c r="A77" s="1" t="s">
        <v>112</v>
      </c>
      <c r="B77" s="22" t="s">
        <v>42</v>
      </c>
      <c r="C77" s="2">
        <f>Calculator!B$5</f>
        <v>6000</v>
      </c>
      <c r="E77" s="3">
        <v>30</v>
      </c>
      <c r="F77" s="3">
        <v>4.4400000000000004</v>
      </c>
      <c r="M77" s="3"/>
      <c r="N77" s="3"/>
      <c r="O77" s="3"/>
      <c r="P77" s="3"/>
      <c r="Q77" s="3"/>
      <c r="R77" s="3"/>
      <c r="S77" s="3"/>
      <c r="T77" s="3"/>
      <c r="U77" s="3"/>
      <c r="V77" s="3"/>
      <c r="W77" s="3"/>
      <c r="X77" s="3"/>
      <c r="Y77" s="3"/>
      <c r="Z77" s="3"/>
      <c r="AA77" s="3">
        <v>0</v>
      </c>
      <c r="AB77" s="3">
        <f>E77+(F77*C77*3/1000)</f>
        <v>109.92000000000002</v>
      </c>
      <c r="AC77" s="24"/>
    </row>
    <row r="78" spans="1:29" x14ac:dyDescent="0.25">
      <c r="A78" s="1" t="s">
        <v>113</v>
      </c>
      <c r="B78" s="27" t="s">
        <v>114</v>
      </c>
      <c r="C78" s="2">
        <f>Calculator!B$5</f>
        <v>6000</v>
      </c>
      <c r="D78" s="1"/>
      <c r="E78" s="1">
        <v>45</v>
      </c>
      <c r="F78" s="1"/>
      <c r="G78" s="1">
        <v>7.1</v>
      </c>
      <c r="H78" s="28"/>
      <c r="I78" s="1"/>
      <c r="J78" s="1">
        <v>5000</v>
      </c>
      <c r="K78" s="1"/>
      <c r="L78" s="1"/>
      <c r="M78" s="1"/>
      <c r="N78" s="1"/>
      <c r="O78" s="1"/>
      <c r="P78" s="1"/>
      <c r="Q78" s="1"/>
      <c r="R78" s="1"/>
      <c r="S78" s="1"/>
      <c r="T78" s="1"/>
      <c r="U78" s="1"/>
      <c r="V78" s="1"/>
      <c r="W78" s="1"/>
      <c r="X78" s="1"/>
      <c r="Y78" s="1"/>
      <c r="Z78" s="1"/>
      <c r="AA78" s="3">
        <v>0</v>
      </c>
      <c r="AB78" s="3">
        <f>IF(J78&gt;=(C78*3),E78,((((C78*3)-J78)*G78/1000)+E78))</f>
        <v>137.30000000000001</v>
      </c>
      <c r="AC78" s="24"/>
    </row>
    <row r="79" spans="1:29" x14ac:dyDescent="0.25">
      <c r="A79" s="1" t="s">
        <v>115</v>
      </c>
      <c r="B79" s="8">
        <v>42388</v>
      </c>
      <c r="C79" s="2">
        <f>Calculator!B$5</f>
        <v>6000</v>
      </c>
      <c r="E79" s="3">
        <v>5.55</v>
      </c>
      <c r="F79" s="21">
        <v>4.4889999999999999</v>
      </c>
      <c r="G79" s="21">
        <v>3.8239999999999998</v>
      </c>
      <c r="H79" s="21">
        <v>3.2469999999999999</v>
      </c>
      <c r="I79" s="21"/>
      <c r="J79" s="2">
        <v>25000</v>
      </c>
      <c r="K79" s="2">
        <v>575000</v>
      </c>
      <c r="M79" s="2">
        <f>F79*J79/1000</f>
        <v>112.22499999999999</v>
      </c>
      <c r="N79" s="2">
        <f>G79*K79/1000</f>
        <v>2198.8000000000002</v>
      </c>
      <c r="P79" s="3">
        <f>((C79)-J79)*G79/1000</f>
        <v>-72.656000000000006</v>
      </c>
      <c r="Q79" s="3">
        <f>((C79)-J79-K79)*H79/1000</f>
        <v>-1928.7180000000001</v>
      </c>
      <c r="R79" s="3"/>
      <c r="S79" s="3">
        <f>E79+(C79*F79)/1000</f>
        <v>32.484000000000002</v>
      </c>
      <c r="T79" s="2">
        <f>E79+M79+P79</f>
        <v>45.118999999999986</v>
      </c>
      <c r="U79" s="2">
        <f>E79+M79+N79+Q79</f>
        <v>387.8570000000002</v>
      </c>
      <c r="W79" s="2" t="b">
        <f>C79&lt;=J79</f>
        <v>1</v>
      </c>
      <c r="X79" s="2" t="b">
        <f>AND(C79&lt;=(J79+K79),C79&gt;J79)</f>
        <v>0</v>
      </c>
      <c r="Y79" s="2" t="b">
        <f>C79&gt;(J79+K79)</f>
        <v>0</v>
      </c>
      <c r="AA79" s="3">
        <f>INDEX(S79:U79,MATCH($AC$4,W79:Y79,0))</f>
        <v>32.484000000000002</v>
      </c>
      <c r="AB79" s="3">
        <f>AA79*3</f>
        <v>97.451999999999998</v>
      </c>
      <c r="AC79" s="24"/>
    </row>
    <row r="80" spans="1:29" x14ac:dyDescent="0.25">
      <c r="A80" s="1" t="s">
        <v>116</v>
      </c>
      <c r="B80" s="22" t="s">
        <v>42</v>
      </c>
      <c r="C80" s="2">
        <f>Calculator!B$5</f>
        <v>6000</v>
      </c>
      <c r="E80" s="3">
        <v>5</v>
      </c>
      <c r="M80" s="3"/>
      <c r="N80" s="3"/>
      <c r="O80" s="3"/>
      <c r="P80" s="3"/>
      <c r="Q80" s="3"/>
      <c r="R80" s="3"/>
      <c r="S80" s="3"/>
      <c r="T80" s="3"/>
      <c r="U80" s="3"/>
      <c r="V80" s="3"/>
      <c r="W80" s="3"/>
      <c r="X80" s="3"/>
      <c r="Y80" s="3"/>
      <c r="Z80" s="3"/>
      <c r="AA80" s="3">
        <f>E80+(F80*C80/1000)</f>
        <v>5</v>
      </c>
      <c r="AB80" s="3">
        <v>0</v>
      </c>
      <c r="AC80" s="24"/>
    </row>
    <row r="81" spans="1:29" x14ac:dyDescent="0.25">
      <c r="A81" s="1" t="s">
        <v>117</v>
      </c>
      <c r="B81" s="31">
        <v>43144</v>
      </c>
      <c r="C81" s="2">
        <f>Calculator!B$5</f>
        <v>6000</v>
      </c>
      <c r="E81" s="3">
        <v>8.89</v>
      </c>
      <c r="F81" s="3">
        <v>5.81</v>
      </c>
      <c r="G81" s="3">
        <v>4.13</v>
      </c>
      <c r="H81" s="3"/>
      <c r="I81" s="3"/>
      <c r="J81" s="2">
        <v>100000</v>
      </c>
      <c r="M81" s="3">
        <f>J81*F81/1000</f>
        <v>581</v>
      </c>
      <c r="N81" s="3"/>
      <c r="O81" s="3"/>
      <c r="P81" s="3">
        <f>(C81-J81)*G81/1000</f>
        <v>-388.22</v>
      </c>
      <c r="Q81" s="3"/>
      <c r="R81" s="3"/>
      <c r="S81" s="3"/>
      <c r="T81" s="3">
        <f>E81+M81+P81</f>
        <v>201.66999999999996</v>
      </c>
      <c r="U81" s="3"/>
      <c r="V81" s="3"/>
      <c r="W81" s="3"/>
      <c r="X81" s="3"/>
      <c r="Y81" s="3"/>
      <c r="Z81" s="3"/>
      <c r="AA81" s="3">
        <f>IF(C81&gt;J81,T81,E81+(F81*C81/1000))</f>
        <v>43.75</v>
      </c>
      <c r="AB81" s="3">
        <v>0</v>
      </c>
      <c r="AC81" s="24"/>
    </row>
    <row r="82" spans="1:29" x14ac:dyDescent="0.25">
      <c r="A82" s="1" t="s">
        <v>118</v>
      </c>
      <c r="B82" s="12" t="s">
        <v>42</v>
      </c>
      <c r="C82" s="2">
        <f>Calculator!B$5</f>
        <v>6000</v>
      </c>
      <c r="D82" s="1"/>
      <c r="E82" s="3">
        <v>15</v>
      </c>
      <c r="F82" s="1">
        <v>3.75</v>
      </c>
      <c r="G82" s="1">
        <v>2.38</v>
      </c>
      <c r="H82" s="1"/>
      <c r="I82" s="1"/>
      <c r="J82" s="1">
        <v>5000</v>
      </c>
      <c r="K82" s="1"/>
      <c r="L82" s="1"/>
      <c r="M82" s="3">
        <f>J82*F82/1000</f>
        <v>18.75</v>
      </c>
      <c r="N82" s="3"/>
      <c r="O82" s="3"/>
      <c r="P82" s="3">
        <f>(C82-J82)*G82/1000</f>
        <v>2.38</v>
      </c>
      <c r="Q82" s="3"/>
      <c r="R82" s="3"/>
      <c r="S82" s="3"/>
      <c r="T82" s="3">
        <f>E82+M82+P82</f>
        <v>36.130000000000003</v>
      </c>
      <c r="U82" s="3"/>
      <c r="V82" s="3"/>
      <c r="W82" s="3"/>
      <c r="X82" s="3"/>
      <c r="Y82" s="3"/>
      <c r="Z82" s="3"/>
      <c r="AA82" s="3">
        <f>IF(C82&gt;J82,T82,E82+(F82*C82/1000))</f>
        <v>36.130000000000003</v>
      </c>
      <c r="AB82" s="3">
        <v>0</v>
      </c>
    </row>
    <row r="83" spans="1:29" x14ac:dyDescent="0.25">
      <c r="A83" s="1" t="s">
        <v>119</v>
      </c>
      <c r="B83" s="29" t="s">
        <v>114</v>
      </c>
      <c r="C83" s="2">
        <f>Calculator!B$5</f>
        <v>6000</v>
      </c>
      <c r="D83" s="1"/>
      <c r="E83" s="1">
        <v>45.5</v>
      </c>
      <c r="F83" s="1">
        <v>0</v>
      </c>
      <c r="G83" s="3">
        <v>4.55</v>
      </c>
      <c r="H83" s="30">
        <v>3.25</v>
      </c>
      <c r="I83" s="3"/>
      <c r="J83" s="1">
        <v>5000</v>
      </c>
      <c r="K83" s="1">
        <v>10000</v>
      </c>
      <c r="L83" s="1"/>
      <c r="M83" s="3">
        <f>F83*J83/1000</f>
        <v>0</v>
      </c>
      <c r="N83" s="3">
        <f>G83*K83/1000</f>
        <v>45.5</v>
      </c>
      <c r="O83" s="3"/>
      <c r="P83" s="3">
        <f>((C83*3)-J83)*G83/1000</f>
        <v>59.15</v>
      </c>
      <c r="Q83" s="3">
        <f>((C83*3)-J83-K83)*H83/1000</f>
        <v>9.75</v>
      </c>
      <c r="R83" s="3"/>
      <c r="S83" s="3">
        <f>E83+(C83*3*F83)/1000</f>
        <v>45.5</v>
      </c>
      <c r="T83" s="3">
        <f>E83+M83+P83</f>
        <v>104.65</v>
      </c>
      <c r="U83" s="3">
        <f>E83+M83+N83+Q83</f>
        <v>100.75</v>
      </c>
      <c r="W83" s="2" t="b">
        <f>C83*3&lt;=J83</f>
        <v>0</v>
      </c>
      <c r="X83" s="2" t="b">
        <f>AND(C83*3&lt;=(J83+K83),C83*3&gt;J83)</f>
        <v>0</v>
      </c>
      <c r="Y83" s="2" t="b">
        <f>C83*3&gt;(J83+K83)</f>
        <v>1</v>
      </c>
      <c r="AA83" s="23">
        <v>0</v>
      </c>
      <c r="AB83" s="3">
        <f>INDEX(S83:U83,MATCH(AC$4,W83:Y83,0))</f>
        <v>100.75</v>
      </c>
      <c r="AC83" s="24"/>
    </row>
    <row r="84" spans="1:29" x14ac:dyDescent="0.25">
      <c r="A84" s="1" t="s">
        <v>120</v>
      </c>
      <c r="B84" s="22" t="s">
        <v>42</v>
      </c>
      <c r="C84" s="2">
        <f>Calculator!B$5</f>
        <v>6000</v>
      </c>
      <c r="E84" s="3">
        <v>15.6</v>
      </c>
      <c r="F84" s="3">
        <v>7.82</v>
      </c>
      <c r="AA84" s="3">
        <v>0</v>
      </c>
      <c r="AB84" s="3">
        <f>E84+(F84*C84*3/1000)</f>
        <v>156.35999999999999</v>
      </c>
    </row>
    <row r="85" spans="1:29" x14ac:dyDescent="0.25">
      <c r="A85" s="1" t="s">
        <v>121</v>
      </c>
      <c r="B85" s="8">
        <v>42389</v>
      </c>
      <c r="C85" s="2">
        <f>Calculator!B$5</f>
        <v>6000</v>
      </c>
      <c r="E85" s="3">
        <v>29.1</v>
      </c>
      <c r="F85" s="3">
        <v>5.8739999999999997</v>
      </c>
      <c r="G85" s="21"/>
      <c r="H85" s="21"/>
      <c r="I85" s="21"/>
      <c r="J85" s="21"/>
      <c r="K85" s="21"/>
      <c r="L85" s="21"/>
      <c r="M85" s="21"/>
      <c r="N85" s="21"/>
      <c r="O85" s="21"/>
      <c r="P85" s="21"/>
      <c r="Q85" s="21"/>
      <c r="R85" s="21"/>
      <c r="S85" s="21"/>
      <c r="T85" s="21"/>
      <c r="U85" s="21"/>
      <c r="V85" s="21"/>
      <c r="W85" s="21"/>
      <c r="X85" s="21"/>
      <c r="Y85" s="21"/>
      <c r="Z85" s="21"/>
      <c r="AA85" s="3">
        <v>0</v>
      </c>
      <c r="AB85" s="3">
        <f>E85+(F85*C85*3/1000)</f>
        <v>134.83199999999999</v>
      </c>
    </row>
    <row r="86" spans="1:29" x14ac:dyDescent="0.25">
      <c r="A86" s="1" t="s">
        <v>122</v>
      </c>
      <c r="B86" s="8">
        <v>42389</v>
      </c>
      <c r="C86" s="2">
        <f>Calculator!B$5</f>
        <v>6000</v>
      </c>
      <c r="E86" s="3">
        <v>19.38</v>
      </c>
      <c r="F86" s="3">
        <v>5.8739999999999997</v>
      </c>
      <c r="G86" s="21"/>
      <c r="H86" s="21"/>
      <c r="I86" s="21"/>
      <c r="J86" s="21"/>
      <c r="K86" s="21"/>
      <c r="L86" s="21"/>
      <c r="M86" s="21"/>
      <c r="N86" s="21"/>
      <c r="O86" s="21"/>
      <c r="P86" s="21"/>
      <c r="Q86" s="21"/>
      <c r="R86" s="21"/>
      <c r="S86" s="21"/>
      <c r="T86" s="21"/>
      <c r="U86" s="21"/>
      <c r="V86" s="21"/>
      <c r="W86" s="21"/>
      <c r="X86" s="21"/>
      <c r="Y86" s="21"/>
      <c r="Z86" s="21"/>
      <c r="AA86" s="3">
        <v>0</v>
      </c>
      <c r="AB86" s="3">
        <f>E86+(F86*C86*3/1000)</f>
        <v>125.11199999999999</v>
      </c>
    </row>
    <row r="87" spans="1:29" x14ac:dyDescent="0.25">
      <c r="A87" s="1" t="s">
        <v>123</v>
      </c>
      <c r="B87" s="8">
        <v>42389</v>
      </c>
      <c r="C87" s="2">
        <f>Calculator!B$5</f>
        <v>6000</v>
      </c>
      <c r="E87" s="3">
        <v>29.1</v>
      </c>
      <c r="F87" s="3">
        <v>5.3940000000000001</v>
      </c>
      <c r="G87" s="21"/>
      <c r="H87" s="21"/>
      <c r="I87" s="21"/>
      <c r="J87" s="21"/>
      <c r="K87" s="21"/>
      <c r="L87" s="21"/>
      <c r="M87" s="21"/>
      <c r="N87" s="21"/>
      <c r="O87" s="21"/>
      <c r="P87" s="21"/>
      <c r="Q87" s="21"/>
      <c r="R87" s="21"/>
      <c r="S87" s="21"/>
      <c r="T87" s="21"/>
      <c r="U87" s="21"/>
      <c r="V87" s="21"/>
      <c r="W87" s="21"/>
      <c r="X87" s="21"/>
      <c r="Y87" s="21"/>
      <c r="Z87" s="21"/>
      <c r="AA87" s="3">
        <v>0</v>
      </c>
      <c r="AB87" s="3">
        <f>E87+(F87*C87*3/1000)</f>
        <v>126.19200000000001</v>
      </c>
    </row>
    <row r="88" spans="1:29" x14ac:dyDescent="0.25">
      <c r="A88" s="1" t="s">
        <v>124</v>
      </c>
      <c r="B88" s="8">
        <v>42389</v>
      </c>
      <c r="C88" s="2">
        <f>Calculator!B$5</f>
        <v>6000</v>
      </c>
      <c r="E88" s="3">
        <v>19.38</v>
      </c>
      <c r="F88" s="3">
        <v>5.3940000000000001</v>
      </c>
      <c r="G88" s="21"/>
      <c r="H88" s="21"/>
      <c r="I88" s="21"/>
      <c r="J88" s="21"/>
      <c r="K88" s="21"/>
      <c r="L88" s="21"/>
      <c r="M88" s="21"/>
      <c r="N88" s="21"/>
      <c r="O88" s="21"/>
      <c r="P88" s="21"/>
      <c r="Q88" s="21"/>
      <c r="R88" s="21"/>
      <c r="S88" s="21"/>
      <c r="T88" s="21"/>
      <c r="U88" s="21"/>
      <c r="V88" s="21"/>
      <c r="W88" s="21"/>
      <c r="X88" s="21"/>
      <c r="Y88" s="21"/>
      <c r="Z88" s="21"/>
      <c r="AA88" s="3">
        <v>0</v>
      </c>
      <c r="AB88" s="3">
        <f>E88+(F88*C88*3/1000)</f>
        <v>116.47199999999999</v>
      </c>
    </row>
    <row r="89" spans="1:29" x14ac:dyDescent="0.25">
      <c r="A89" s="1" t="s">
        <v>125</v>
      </c>
      <c r="B89" s="29" t="s">
        <v>114</v>
      </c>
      <c r="C89" s="2">
        <f>Calculator!B$5</f>
        <v>6000</v>
      </c>
      <c r="D89" s="1"/>
      <c r="E89" s="1">
        <v>40</v>
      </c>
      <c r="F89" s="1">
        <v>0</v>
      </c>
      <c r="G89" s="1">
        <v>3</v>
      </c>
      <c r="H89" s="1">
        <v>2.4</v>
      </c>
      <c r="I89" s="1">
        <v>2</v>
      </c>
      <c r="J89" s="1">
        <v>5000</v>
      </c>
      <c r="K89" s="1">
        <v>15000</v>
      </c>
      <c r="L89" s="1">
        <v>30000</v>
      </c>
      <c r="M89" s="2">
        <f>E89</f>
        <v>40</v>
      </c>
      <c r="N89" s="3">
        <f>G89*K89/1000</f>
        <v>45</v>
      </c>
      <c r="O89" s="3">
        <f>H89*L89/1000</f>
        <v>72</v>
      </c>
      <c r="P89" s="3">
        <f>((C89*3)-J89)*G89/1000</f>
        <v>39</v>
      </c>
      <c r="Q89" s="2">
        <f>((C89*3)-J89-K89)*H89/1000</f>
        <v>-4.8</v>
      </c>
      <c r="R89" s="2">
        <f>((C89*3)-J89-K89-L89)*I89/1000</f>
        <v>-64</v>
      </c>
      <c r="S89" s="2">
        <f>E89</f>
        <v>40</v>
      </c>
      <c r="T89" s="2">
        <f>E89+P89</f>
        <v>79</v>
      </c>
      <c r="U89" s="2">
        <f>E89+N89+Q89</f>
        <v>80.2</v>
      </c>
      <c r="V89" s="2">
        <f>E89+N89+O89+R89</f>
        <v>93</v>
      </c>
      <c r="W89" s="2" t="b">
        <f>C89*3&lt;=J89</f>
        <v>0</v>
      </c>
      <c r="X89" s="2" t="b">
        <f>AND(C89*3&lt;=(J89+K89),C89*3&gt;J89)</f>
        <v>1</v>
      </c>
      <c r="Y89" s="2" t="b">
        <f>AND(C89*3&gt;(J89+K89),C89*3&lt;=(J89+K89+L89))</f>
        <v>0</v>
      </c>
      <c r="Z89" s="2" t="b">
        <f>C89*3&gt;(J89+K89+L89)</f>
        <v>0</v>
      </c>
      <c r="AA89" s="3">
        <v>0</v>
      </c>
      <c r="AB89" s="3">
        <f>INDEX(S89:V89,MATCH($AC$4,W89:Z89,0))</f>
        <v>79</v>
      </c>
    </row>
    <row r="90" spans="1:29" x14ac:dyDescent="0.25">
      <c r="A90" s="1" t="s">
        <v>126</v>
      </c>
      <c r="B90" s="22" t="s">
        <v>42</v>
      </c>
      <c r="C90" s="2">
        <f>Calculator!B$5</f>
        <v>6000</v>
      </c>
      <c r="E90" s="3">
        <v>17</v>
      </c>
      <c r="AA90" s="3">
        <f>E90+(F90*C90/1000)</f>
        <v>17</v>
      </c>
      <c r="AB90" s="3">
        <v>0</v>
      </c>
    </row>
    <row r="91" spans="1:29" x14ac:dyDescent="0.25">
      <c r="A91" s="1" t="s">
        <v>127</v>
      </c>
      <c r="B91" s="31">
        <v>43143</v>
      </c>
      <c r="C91" s="2">
        <f>Calculator!B$5</f>
        <v>6000</v>
      </c>
      <c r="E91" s="3">
        <v>16.5</v>
      </c>
      <c r="F91" s="3">
        <v>12.217000000000001</v>
      </c>
      <c r="G91" s="21"/>
      <c r="H91" s="21"/>
      <c r="I91" s="21"/>
      <c r="J91" s="21"/>
      <c r="K91" s="21"/>
      <c r="L91" s="21"/>
      <c r="M91" s="21"/>
      <c r="N91" s="21"/>
      <c r="O91" s="21"/>
      <c r="P91" s="21"/>
      <c r="Q91" s="21"/>
      <c r="R91" s="21"/>
      <c r="S91" s="21"/>
      <c r="T91" s="21"/>
      <c r="U91" s="21"/>
      <c r="V91" s="21"/>
      <c r="W91" s="21"/>
      <c r="X91" s="21"/>
      <c r="Y91" s="21"/>
      <c r="Z91" s="21"/>
      <c r="AA91" s="3">
        <f>E91+(C91*F91/1000)</f>
        <v>89.802000000000007</v>
      </c>
      <c r="AB91" s="3">
        <v>0</v>
      </c>
      <c r="AC91" s="24"/>
    </row>
    <row r="92" spans="1:29" x14ac:dyDescent="0.25">
      <c r="A92" s="1" t="s">
        <v>128</v>
      </c>
      <c r="B92" s="31">
        <v>43143</v>
      </c>
      <c r="C92" s="2">
        <f>Calculator!B$5</f>
        <v>6000</v>
      </c>
      <c r="G92" s="21"/>
      <c r="H92" s="21"/>
      <c r="I92" s="21"/>
      <c r="J92" s="21"/>
      <c r="K92" s="21"/>
      <c r="L92" s="21"/>
      <c r="M92" s="21"/>
      <c r="N92" s="21"/>
      <c r="O92" s="21"/>
      <c r="P92" s="21"/>
      <c r="Q92" s="21"/>
      <c r="R92" s="21"/>
      <c r="S92" s="21"/>
      <c r="T92" s="21"/>
      <c r="U92" s="21"/>
      <c r="V92" s="21"/>
      <c r="W92" s="21"/>
      <c r="X92" s="21"/>
      <c r="Y92" s="21"/>
      <c r="Z92" s="21"/>
      <c r="AA92" s="3">
        <v>60.8</v>
      </c>
      <c r="AB92" s="3">
        <v>0</v>
      </c>
      <c r="AC92" s="24"/>
    </row>
    <row r="93" spans="1:29" x14ac:dyDescent="0.25">
      <c r="A93" s="1" t="s">
        <v>129</v>
      </c>
      <c r="B93" s="31">
        <v>43143</v>
      </c>
      <c r="C93" s="2">
        <f>Calculator!B$5</f>
        <v>6000</v>
      </c>
      <c r="E93" s="3">
        <v>16.5</v>
      </c>
      <c r="F93" s="3">
        <v>9</v>
      </c>
      <c r="G93" s="21"/>
      <c r="H93" s="21"/>
      <c r="I93" s="21"/>
      <c r="J93" s="21"/>
      <c r="K93" s="21"/>
      <c r="L93" s="21"/>
      <c r="M93" s="21"/>
      <c r="N93" s="21"/>
      <c r="O93" s="21"/>
      <c r="P93" s="21"/>
      <c r="Q93" s="21"/>
      <c r="R93" s="21"/>
      <c r="S93" s="21"/>
      <c r="T93" s="21"/>
      <c r="U93" s="21"/>
      <c r="V93" s="21"/>
      <c r="W93" s="21"/>
      <c r="X93" s="21"/>
      <c r="Y93" s="21"/>
      <c r="Z93" s="21"/>
      <c r="AA93" s="3">
        <f>E93+(C93*F93/1000)</f>
        <v>70.5</v>
      </c>
      <c r="AB93" s="3">
        <v>0</v>
      </c>
      <c r="AC93" s="24"/>
    </row>
    <row r="94" spans="1:29" x14ac:dyDescent="0.25">
      <c r="A94" s="32" t="s">
        <v>130</v>
      </c>
      <c r="B94" s="31">
        <v>43143</v>
      </c>
      <c r="C94" s="2">
        <f>Calculator!B$5</f>
        <v>6000</v>
      </c>
      <c r="E94" s="3">
        <v>16.5</v>
      </c>
      <c r="F94" s="3">
        <v>6.8</v>
      </c>
      <c r="G94" s="21"/>
      <c r="H94" s="21"/>
      <c r="I94" s="21"/>
      <c r="J94" s="21"/>
      <c r="K94" s="21"/>
      <c r="L94" s="21"/>
      <c r="M94" s="21"/>
      <c r="N94" s="21"/>
      <c r="O94" s="21"/>
      <c r="P94" s="21"/>
      <c r="Q94" s="21"/>
      <c r="R94" s="21"/>
      <c r="S94" s="21"/>
      <c r="T94" s="21"/>
      <c r="U94" s="21"/>
      <c r="V94" s="21"/>
      <c r="W94" s="21"/>
      <c r="X94" s="21"/>
      <c r="Y94" s="21"/>
      <c r="Z94" s="21"/>
      <c r="AA94" s="3">
        <f>E94+(C94*F94/1000)</f>
        <v>57.3</v>
      </c>
      <c r="AB94" s="3">
        <v>0</v>
      </c>
      <c r="AC94" s="24"/>
    </row>
    <row r="95" spans="1:29" x14ac:dyDescent="0.25">
      <c r="A95" s="32" t="s">
        <v>131</v>
      </c>
      <c r="B95" s="31">
        <v>43143</v>
      </c>
      <c r="C95" s="2">
        <f>Calculator!B$5</f>
        <v>6000</v>
      </c>
      <c r="E95" s="3">
        <v>16.5</v>
      </c>
      <c r="F95" s="3">
        <v>3.2</v>
      </c>
      <c r="G95" s="21"/>
      <c r="H95" s="21"/>
      <c r="I95" s="21"/>
      <c r="J95" s="21"/>
      <c r="K95" s="21"/>
      <c r="L95" s="21"/>
      <c r="M95" s="21"/>
      <c r="N95" s="21"/>
      <c r="O95" s="21"/>
      <c r="P95" s="21"/>
      <c r="Q95" s="21"/>
      <c r="R95" s="21"/>
      <c r="S95" s="21"/>
      <c r="T95" s="21"/>
      <c r="U95" s="21"/>
      <c r="V95" s="21"/>
      <c r="W95" s="21"/>
      <c r="X95" s="21"/>
      <c r="Y95" s="21"/>
      <c r="Z95" s="21"/>
      <c r="AA95" s="3">
        <f>E95+(C95*F95/1000)</f>
        <v>35.700000000000003</v>
      </c>
      <c r="AB95" s="3">
        <v>0</v>
      </c>
      <c r="AC95" s="24"/>
    </row>
    <row r="96" spans="1:29" x14ac:dyDescent="0.25">
      <c r="A96" s="1" t="s">
        <v>132</v>
      </c>
      <c r="B96" s="12" t="s">
        <v>42</v>
      </c>
      <c r="C96" s="2">
        <f>Calculator!B$5</f>
        <v>6000</v>
      </c>
      <c r="D96" s="1"/>
      <c r="F96" s="3">
        <v>6.9</v>
      </c>
      <c r="G96" s="3">
        <v>5.75</v>
      </c>
      <c r="H96" s="3">
        <v>4.25</v>
      </c>
      <c r="J96" s="2">
        <v>2000</v>
      </c>
      <c r="K96" s="2">
        <v>32000</v>
      </c>
      <c r="M96" s="3">
        <f>F96*J96/1000</f>
        <v>13.8</v>
      </c>
      <c r="N96" s="3">
        <f>G96*K96/1000</f>
        <v>184</v>
      </c>
      <c r="O96" s="3"/>
      <c r="P96" s="3">
        <f>(C96-J96)*G96/1000</f>
        <v>23</v>
      </c>
      <c r="Q96" s="3">
        <f>(C96-J96-K96)*H96/1000</f>
        <v>-119</v>
      </c>
      <c r="R96" s="3"/>
      <c r="S96" s="3">
        <f>E96+(C96*F96)/1000</f>
        <v>41.4</v>
      </c>
      <c r="T96" s="3">
        <f>E96+M96+P96</f>
        <v>36.799999999999997</v>
      </c>
      <c r="U96" s="3">
        <f>E96+M96+N96+Q96</f>
        <v>78.800000000000011</v>
      </c>
      <c r="W96" s="2" t="b">
        <f>C96&lt;=J96</f>
        <v>0</v>
      </c>
      <c r="X96" s="2" t="b">
        <f>AND(C96&lt;=(J96+K96),C96&gt;J96)</f>
        <v>1</v>
      </c>
      <c r="Y96" s="2" t="b">
        <f>C96&gt;(J96+K96)</f>
        <v>0</v>
      </c>
      <c r="AA96" s="3">
        <f>INDEX(S96:U96,MATCH(AC$4,W96:Y96,0))</f>
        <v>36.799999999999997</v>
      </c>
      <c r="AB96" s="3">
        <v>0</v>
      </c>
    </row>
    <row r="97" spans="1:28" x14ac:dyDescent="0.25">
      <c r="A97" s="1" t="s">
        <v>133</v>
      </c>
      <c r="C97" s="2">
        <f>Calculator!B$5</f>
        <v>6000</v>
      </c>
      <c r="E97" s="3">
        <v>54.55</v>
      </c>
      <c r="F97" s="3">
        <v>5.13</v>
      </c>
      <c r="AA97" s="3">
        <v>0</v>
      </c>
      <c r="AB97" s="3">
        <f>E97+(C97*3*F97)/1000</f>
        <v>146.88999999999999</v>
      </c>
    </row>
    <row r="98" spans="1:28" x14ac:dyDescent="0.25">
      <c r="A98" s="1" t="s">
        <v>134</v>
      </c>
      <c r="B98" s="8">
        <v>42388</v>
      </c>
      <c r="C98" s="2">
        <f>Calculator!B$5</f>
        <v>6000</v>
      </c>
      <c r="E98" s="3">
        <v>34.5</v>
      </c>
      <c r="F98" s="3">
        <v>13.89</v>
      </c>
      <c r="AA98" s="3">
        <f>E98+(C98*F98/1000)</f>
        <v>117.84</v>
      </c>
      <c r="AB98" s="3">
        <v>0</v>
      </c>
    </row>
    <row r="99" spans="1:28" x14ac:dyDescent="0.25">
      <c r="A99" s="1" t="s">
        <v>135</v>
      </c>
      <c r="B99" s="8">
        <v>42388</v>
      </c>
      <c r="C99" s="2">
        <f>Calculator!B$5</f>
        <v>6000</v>
      </c>
      <c r="E99" s="3">
        <v>23</v>
      </c>
      <c r="F99" s="3">
        <v>13.89</v>
      </c>
      <c r="AA99" s="3">
        <f>E99+(C99*F99/1000)</f>
        <v>106.34</v>
      </c>
      <c r="AB99" s="3">
        <v>0</v>
      </c>
    </row>
    <row r="100" spans="1:28" x14ac:dyDescent="0.25">
      <c r="A100" s="1" t="s">
        <v>136</v>
      </c>
      <c r="B100" s="8">
        <v>42389</v>
      </c>
      <c r="C100" s="2">
        <f>Calculator!B$5</f>
        <v>6000</v>
      </c>
      <c r="E100" s="3">
        <v>20.5</v>
      </c>
      <c r="F100" s="3">
        <v>7</v>
      </c>
      <c r="AA100" s="3">
        <f>E100+(F100*C100/1000)</f>
        <v>62.5</v>
      </c>
      <c r="AB100" s="3">
        <v>0</v>
      </c>
    </row>
    <row r="101" spans="1:28" x14ac:dyDescent="0.25">
      <c r="A101" s="1" t="s">
        <v>137</v>
      </c>
      <c r="B101" s="8">
        <v>42389</v>
      </c>
      <c r="C101" s="2">
        <f>Calculator!B$5</f>
        <v>6000</v>
      </c>
      <c r="E101" s="3">
        <v>14</v>
      </c>
      <c r="F101" s="3">
        <v>2.3092999999999999</v>
      </c>
      <c r="AA101" s="3">
        <f>E101+(F101*C101/1000)</f>
        <v>27.855799999999999</v>
      </c>
      <c r="AB101" s="3">
        <v>0</v>
      </c>
    </row>
    <row r="102" spans="1:28" x14ac:dyDescent="0.25">
      <c r="A102" s="1" t="s">
        <v>138</v>
      </c>
      <c r="B102" s="8">
        <v>42389</v>
      </c>
      <c r="C102" s="2">
        <f>Calculator!B$5</f>
        <v>6000</v>
      </c>
      <c r="E102" s="3">
        <v>35</v>
      </c>
      <c r="F102" s="3">
        <v>0</v>
      </c>
      <c r="AA102" s="3">
        <f>E102+(F102*C102/1000)</f>
        <v>35</v>
      </c>
      <c r="AB102" s="3">
        <v>0</v>
      </c>
    </row>
    <row r="103" spans="1:28" x14ac:dyDescent="0.25">
      <c r="A103" s="1" t="s">
        <v>139</v>
      </c>
      <c r="B103" s="12" t="s">
        <v>42</v>
      </c>
      <c r="C103" s="2">
        <f>Calculator!B$5</f>
        <v>6000</v>
      </c>
      <c r="D103" s="1"/>
      <c r="E103" s="3">
        <v>11.38</v>
      </c>
      <c r="F103" s="1">
        <v>3.96</v>
      </c>
      <c r="G103" s="1">
        <v>2.69</v>
      </c>
      <c r="H103" s="1"/>
      <c r="I103" s="1"/>
      <c r="J103" s="2">
        <v>3000</v>
      </c>
      <c r="K103" s="1"/>
      <c r="L103" s="1"/>
      <c r="M103" s="3">
        <f>J103*F103/1000</f>
        <v>11.88</v>
      </c>
      <c r="N103" s="3"/>
      <c r="O103" s="3"/>
      <c r="P103" s="3">
        <f>(C103-J103)*G103/1000</f>
        <v>8.07</v>
      </c>
      <c r="Q103" s="3"/>
      <c r="R103" s="3"/>
      <c r="S103" s="3"/>
      <c r="T103" s="3">
        <f>E103+M103+P103</f>
        <v>31.330000000000002</v>
      </c>
      <c r="U103" s="3"/>
      <c r="V103" s="3"/>
      <c r="W103" s="3"/>
      <c r="X103" s="3"/>
      <c r="Y103" s="3"/>
      <c r="Z103" s="3"/>
      <c r="AA103" s="3">
        <f>IF(C103&gt;J103,T103,E103+(F103*C103/1000))</f>
        <v>31.330000000000002</v>
      </c>
      <c r="AB103" s="3">
        <v>0</v>
      </c>
    </row>
    <row r="104" spans="1:28" x14ac:dyDescent="0.25">
      <c r="A104" s="1" t="s">
        <v>140</v>
      </c>
      <c r="C104" s="2">
        <f>Calculator!B$5</f>
        <v>6000</v>
      </c>
      <c r="E104" s="3">
        <v>18.39</v>
      </c>
      <c r="F104" s="3">
        <v>18.39</v>
      </c>
      <c r="G104" s="3">
        <v>6.25</v>
      </c>
      <c r="H104" s="3">
        <v>5.38</v>
      </c>
      <c r="I104" s="3"/>
      <c r="J104" s="2">
        <v>2250</v>
      </c>
      <c r="K104" s="2">
        <v>13667</v>
      </c>
      <c r="M104" s="3">
        <f>F104</f>
        <v>18.39</v>
      </c>
      <c r="N104" s="3">
        <f>G104*K104/1000</f>
        <v>85.418750000000003</v>
      </c>
      <c r="O104" s="3"/>
      <c r="P104" s="3">
        <f>(C104-J104)*G104/1000</f>
        <v>23.4375</v>
      </c>
      <c r="Q104" s="3">
        <f>(C104-(J104+K104))*H104/1000</f>
        <v>-53.353459999999998</v>
      </c>
      <c r="R104" s="3"/>
      <c r="S104" s="3">
        <f>E104</f>
        <v>18.39</v>
      </c>
      <c r="T104" s="2">
        <f>E104+P104</f>
        <v>41.827500000000001</v>
      </c>
      <c r="U104" s="2">
        <f>M104+N104+Q104</f>
        <v>50.455290000000005</v>
      </c>
      <c r="W104" s="2" t="b">
        <f>C104&lt;=J104</f>
        <v>0</v>
      </c>
      <c r="X104" s="2" t="b">
        <f>AND(C104&lt;=(J104+K104),C104&gt;J104)</f>
        <v>1</v>
      </c>
      <c r="Y104" s="2" t="b">
        <f>C104&gt;(J104+K104)</f>
        <v>0</v>
      </c>
      <c r="AA104" s="3">
        <f>INDEX(S104:U104,MATCH($AC$4,W104:Y104,0))</f>
        <v>41.827500000000001</v>
      </c>
      <c r="AB104" s="3">
        <v>0</v>
      </c>
    </row>
    <row r="105" spans="1:28" x14ac:dyDescent="0.25">
      <c r="A105" s="1" t="s">
        <v>141</v>
      </c>
      <c r="B105" s="22" t="s">
        <v>42</v>
      </c>
      <c r="C105" s="2">
        <f>Calculator!B$5</f>
        <v>6000</v>
      </c>
      <c r="E105" s="3">
        <v>11.58</v>
      </c>
      <c r="F105" s="3">
        <v>5.44</v>
      </c>
      <c r="M105" s="3"/>
      <c r="N105" s="3"/>
      <c r="O105" s="3"/>
      <c r="P105" s="3"/>
      <c r="Q105" s="3"/>
      <c r="R105" s="3"/>
      <c r="S105" s="3"/>
      <c r="T105" s="3"/>
      <c r="U105" s="3"/>
      <c r="V105" s="3"/>
      <c r="W105" s="3"/>
      <c r="X105" s="3"/>
      <c r="Y105" s="3"/>
      <c r="Z105" s="3"/>
      <c r="AA105" s="3">
        <v>0</v>
      </c>
      <c r="AB105" s="3">
        <f>E105+(F105*C105*3/1000)</f>
        <v>109.50000000000001</v>
      </c>
    </row>
    <row r="106" spans="1:28" x14ac:dyDescent="0.25">
      <c r="A106" s="1" t="s">
        <v>142</v>
      </c>
      <c r="B106" s="8">
        <v>42388</v>
      </c>
      <c r="C106" s="2">
        <f>Calculator!B$5</f>
        <v>6000</v>
      </c>
      <c r="E106" s="3">
        <v>17.5</v>
      </c>
      <c r="F106" s="3">
        <v>4</v>
      </c>
      <c r="G106" s="3">
        <v>3.47</v>
      </c>
      <c r="H106" s="3"/>
      <c r="I106" s="3"/>
      <c r="J106" s="2">
        <v>25000</v>
      </c>
      <c r="M106" s="3">
        <f>J106*F106/1000</f>
        <v>100</v>
      </c>
      <c r="N106" s="3"/>
      <c r="O106" s="3"/>
      <c r="P106" s="3">
        <f>((C106*3)-J106)*G106/1000</f>
        <v>-24.29</v>
      </c>
      <c r="Q106" s="3"/>
      <c r="R106" s="3"/>
      <c r="S106" s="3"/>
      <c r="T106" s="3">
        <f>E106+M106+P106</f>
        <v>93.210000000000008</v>
      </c>
      <c r="U106" s="3"/>
      <c r="V106" s="3"/>
      <c r="W106" s="3"/>
      <c r="X106" s="3"/>
      <c r="Y106" s="3"/>
      <c r="Z106" s="3"/>
      <c r="AA106" s="3">
        <v>0</v>
      </c>
      <c r="AB106" s="3">
        <f>IF((C106*3)&gt;J106,T106,E106+(F106*(C106*3)/1000))</f>
        <v>89.5</v>
      </c>
    </row>
    <row r="107" spans="1:28" x14ac:dyDescent="0.25">
      <c r="A107" s="1" t="s">
        <v>143</v>
      </c>
      <c r="B107" s="8">
        <v>42389</v>
      </c>
      <c r="C107" s="2">
        <f>Calculator!B$5</f>
        <v>6000</v>
      </c>
      <c r="E107" s="3">
        <v>15</v>
      </c>
      <c r="F107" s="3">
        <v>5</v>
      </c>
      <c r="G107" s="3"/>
      <c r="H107" s="3"/>
      <c r="I107" s="3"/>
      <c r="M107" s="3"/>
      <c r="N107" s="3"/>
      <c r="O107" s="3"/>
      <c r="P107" s="3"/>
      <c r="Q107" s="3"/>
      <c r="R107" s="3"/>
      <c r="S107" s="3"/>
      <c r="T107" s="3"/>
      <c r="U107" s="3"/>
      <c r="V107" s="3"/>
      <c r="W107" s="3"/>
      <c r="X107" s="3"/>
      <c r="Y107" s="3"/>
      <c r="Z107" s="3"/>
      <c r="AA107" s="3">
        <f>E107+(F107*C107/1000)</f>
        <v>45</v>
      </c>
      <c r="AB107" s="3">
        <f>AA107*3</f>
        <v>135</v>
      </c>
    </row>
    <row r="108" spans="1:28" x14ac:dyDescent="0.25">
      <c r="A108" s="1" t="s">
        <v>144</v>
      </c>
      <c r="B108" s="8">
        <v>42389</v>
      </c>
      <c r="C108" s="2">
        <f>Calculator!B$5</f>
        <v>6000</v>
      </c>
      <c r="E108" s="3">
        <v>6.5</v>
      </c>
      <c r="F108" s="3">
        <v>8.2524999999999995</v>
      </c>
      <c r="G108" s="3"/>
      <c r="H108" s="3"/>
      <c r="I108" s="3"/>
      <c r="M108" s="3"/>
      <c r="N108" s="3"/>
      <c r="O108" s="3"/>
      <c r="P108" s="3"/>
      <c r="Q108" s="3"/>
      <c r="R108" s="3"/>
      <c r="S108" s="3"/>
      <c r="T108" s="3"/>
      <c r="U108" s="3"/>
      <c r="V108" s="3"/>
      <c r="W108" s="3"/>
      <c r="X108" s="3"/>
      <c r="Y108" s="3"/>
      <c r="Z108" s="3"/>
      <c r="AA108" s="3">
        <f>E108+(F108*C108/1000)</f>
        <v>56.015000000000001</v>
      </c>
      <c r="AB108" s="3">
        <v>0</v>
      </c>
    </row>
    <row r="109" spans="1:28" x14ac:dyDescent="0.25">
      <c r="A109" s="1" t="s">
        <v>145</v>
      </c>
      <c r="B109" s="22" t="s">
        <v>42</v>
      </c>
      <c r="C109" s="2">
        <f>Calculator!B$5</f>
        <v>6000</v>
      </c>
      <c r="E109" s="3">
        <v>50.5</v>
      </c>
      <c r="M109" s="3"/>
      <c r="N109" s="3"/>
      <c r="O109" s="3"/>
      <c r="P109" s="3"/>
      <c r="Q109" s="3"/>
      <c r="R109" s="3"/>
      <c r="S109" s="3"/>
      <c r="T109" s="3"/>
      <c r="U109" s="3"/>
      <c r="V109" s="3"/>
      <c r="W109" s="3"/>
      <c r="X109" s="3"/>
      <c r="Y109" s="3"/>
      <c r="Z109" s="3"/>
      <c r="AA109" s="3">
        <v>0</v>
      </c>
      <c r="AB109" s="3">
        <f>E109+(F109*C109*3/1000)</f>
        <v>50.5</v>
      </c>
    </row>
    <row r="110" spans="1:28" x14ac:dyDescent="0.25">
      <c r="A110" s="1" t="s">
        <v>146</v>
      </c>
      <c r="B110" s="22" t="s">
        <v>42</v>
      </c>
      <c r="C110" s="2">
        <f>Calculator!B$5</f>
        <v>6000</v>
      </c>
      <c r="E110" s="3">
        <v>15.05</v>
      </c>
      <c r="F110" s="3">
        <v>4.1100000000000003</v>
      </c>
      <c r="M110" s="3"/>
      <c r="N110" s="3"/>
      <c r="O110" s="3"/>
      <c r="P110" s="3"/>
      <c r="Q110" s="3"/>
      <c r="R110" s="3"/>
      <c r="S110" s="3"/>
      <c r="T110" s="3"/>
      <c r="U110" s="3"/>
      <c r="V110" s="3"/>
      <c r="W110" s="3"/>
      <c r="X110" s="3"/>
      <c r="Y110" s="3"/>
      <c r="Z110" s="3"/>
      <c r="AA110" s="3">
        <f>E110+(F110*C110/1000)</f>
        <v>39.710000000000008</v>
      </c>
      <c r="AB110" s="3">
        <v>0</v>
      </c>
    </row>
    <row r="111" spans="1:28" x14ac:dyDescent="0.25">
      <c r="A111" s="1" t="s">
        <v>147</v>
      </c>
      <c r="B111" s="22" t="s">
        <v>42</v>
      </c>
      <c r="C111" s="2">
        <f>Calculator!B$5</f>
        <v>6000</v>
      </c>
      <c r="E111" s="3">
        <v>16.8</v>
      </c>
      <c r="F111" s="3">
        <v>9.5275999999999996</v>
      </c>
      <c r="M111" s="3"/>
      <c r="N111" s="3"/>
      <c r="O111" s="3"/>
      <c r="P111" s="3"/>
      <c r="Q111" s="3"/>
      <c r="R111" s="3"/>
      <c r="S111" s="3"/>
      <c r="T111" s="3"/>
      <c r="U111" s="3"/>
      <c r="V111" s="3"/>
      <c r="W111" s="3"/>
      <c r="X111" s="3"/>
      <c r="Y111" s="3"/>
      <c r="Z111" s="3"/>
      <c r="AA111" s="3">
        <f>E111+(F111*C111/1000)</f>
        <v>73.965599999999995</v>
      </c>
      <c r="AB111" s="3">
        <v>0</v>
      </c>
    </row>
    <row r="112" spans="1:28" x14ac:dyDescent="0.25">
      <c r="A112" s="1" t="s">
        <v>148</v>
      </c>
      <c r="B112" s="22" t="s">
        <v>42</v>
      </c>
      <c r="C112" s="2">
        <f>Calculator!B$5</f>
        <v>6000</v>
      </c>
      <c r="E112" s="3">
        <v>58.57</v>
      </c>
      <c r="M112" s="3"/>
      <c r="N112" s="3"/>
      <c r="O112" s="3"/>
      <c r="P112" s="3"/>
      <c r="Q112" s="3"/>
      <c r="R112" s="3"/>
      <c r="S112" s="3"/>
      <c r="T112" s="3"/>
      <c r="U112" s="3"/>
      <c r="V112" s="3"/>
      <c r="W112" s="3"/>
      <c r="X112" s="3"/>
      <c r="Y112" s="3"/>
      <c r="Z112" s="3"/>
      <c r="AA112" s="3">
        <v>0</v>
      </c>
      <c r="AB112" s="3">
        <f>E112+(F112*C112*3/1000)</f>
        <v>58.57</v>
      </c>
    </row>
    <row r="113" spans="1:29" x14ac:dyDescent="0.25">
      <c r="A113" s="1" t="s">
        <v>149</v>
      </c>
      <c r="B113" s="27" t="s">
        <v>114</v>
      </c>
      <c r="C113" s="2">
        <f>Calculator!B$5</f>
        <v>6000</v>
      </c>
      <c r="D113" s="1"/>
      <c r="E113" s="1">
        <v>10.67</v>
      </c>
      <c r="F113" s="1"/>
      <c r="G113" s="1">
        <v>3.63</v>
      </c>
      <c r="H113" s="28"/>
      <c r="I113" s="1"/>
      <c r="J113" s="1">
        <v>2500</v>
      </c>
      <c r="K113" s="1"/>
      <c r="L113" s="1"/>
      <c r="M113" s="1"/>
      <c r="N113" s="1"/>
      <c r="O113" s="1"/>
      <c r="P113" s="1"/>
      <c r="Q113" s="1"/>
      <c r="R113" s="1"/>
      <c r="S113" s="1"/>
      <c r="T113" s="1"/>
      <c r="U113" s="1"/>
      <c r="V113" s="1"/>
      <c r="W113" s="1"/>
      <c r="X113" s="1"/>
      <c r="Y113" s="1"/>
      <c r="Z113" s="1"/>
      <c r="AA113" s="3">
        <f>IF(J113&gt;=C113,E113,(((C113-J113)*G113/1000)+E113))</f>
        <v>23.375</v>
      </c>
      <c r="AB113" s="3">
        <v>0</v>
      </c>
    </row>
    <row r="114" spans="1:29" x14ac:dyDescent="0.25">
      <c r="A114" s="1" t="s">
        <v>150</v>
      </c>
      <c r="B114" s="27" t="s">
        <v>114</v>
      </c>
      <c r="C114" s="2">
        <f>Calculator!B$5</f>
        <v>6000</v>
      </c>
      <c r="D114" s="1"/>
      <c r="E114" s="1">
        <v>22.7</v>
      </c>
      <c r="F114" s="1"/>
      <c r="G114" s="1">
        <v>2.27</v>
      </c>
      <c r="H114" s="28"/>
      <c r="I114" s="1"/>
      <c r="J114" s="1">
        <v>10000</v>
      </c>
      <c r="K114" s="1"/>
      <c r="L114" s="1"/>
      <c r="M114" s="1"/>
      <c r="N114" s="1"/>
      <c r="O114" s="1"/>
      <c r="P114" s="1"/>
      <c r="Q114" s="1"/>
      <c r="R114" s="1"/>
      <c r="S114" s="1"/>
      <c r="T114" s="1"/>
      <c r="U114" s="1"/>
      <c r="V114" s="1"/>
      <c r="W114" s="1"/>
      <c r="X114" s="1"/>
      <c r="Y114" s="1"/>
      <c r="Z114" s="1"/>
      <c r="AA114" s="3">
        <v>0</v>
      </c>
      <c r="AB114" s="3">
        <f>IF(J114&gt;=(C114*3),E114,((((C114*3)-J114)*G114/1000)+E114))</f>
        <v>40.86</v>
      </c>
    </row>
    <row r="115" spans="1:29" x14ac:dyDescent="0.25">
      <c r="A115" s="1" t="s">
        <v>151</v>
      </c>
      <c r="B115" s="27" t="s">
        <v>114</v>
      </c>
      <c r="C115" s="2">
        <f>Calculator!B$5</f>
        <v>6000</v>
      </c>
      <c r="D115" s="1"/>
      <c r="E115" s="1">
        <v>18.16</v>
      </c>
      <c r="F115" s="1"/>
      <c r="G115" s="1">
        <v>2.27</v>
      </c>
      <c r="H115" s="28"/>
      <c r="I115" s="1"/>
      <c r="J115" s="1">
        <v>8000</v>
      </c>
      <c r="K115" s="1"/>
      <c r="L115" s="1"/>
      <c r="M115" s="1"/>
      <c r="N115" s="1"/>
      <c r="O115" s="1"/>
      <c r="P115" s="1"/>
      <c r="Q115" s="1"/>
      <c r="R115" s="1"/>
      <c r="S115" s="1"/>
      <c r="T115" s="1"/>
      <c r="U115" s="1"/>
      <c r="V115" s="1"/>
      <c r="W115" s="1"/>
      <c r="X115" s="1"/>
      <c r="Y115" s="1"/>
      <c r="Z115" s="1"/>
      <c r="AA115" s="3">
        <v>0</v>
      </c>
      <c r="AB115" s="3">
        <f>IF(J115&gt;=(C115*3),E115,((((C115*3)-J115)*G115/1000)+E115))</f>
        <v>40.86</v>
      </c>
    </row>
    <row r="116" spans="1:29" x14ac:dyDescent="0.25">
      <c r="A116" s="1" t="s">
        <v>152</v>
      </c>
      <c r="B116" s="22" t="s">
        <v>42</v>
      </c>
      <c r="C116" s="2">
        <f>Calculator!B$5</f>
        <v>6000</v>
      </c>
      <c r="E116" s="3">
        <v>13</v>
      </c>
      <c r="F116" s="3">
        <v>11.31</v>
      </c>
      <c r="G116" s="21"/>
      <c r="H116" s="21"/>
      <c r="I116" s="21"/>
      <c r="M116" s="3"/>
      <c r="N116" s="3"/>
      <c r="O116" s="3"/>
      <c r="P116" s="3"/>
      <c r="Q116" s="3"/>
      <c r="R116" s="3"/>
      <c r="S116" s="3"/>
      <c r="T116" s="3"/>
      <c r="U116" s="3"/>
      <c r="V116" s="3"/>
      <c r="W116" s="3"/>
      <c r="X116" s="3"/>
      <c r="Y116" s="3"/>
      <c r="Z116" s="3"/>
      <c r="AA116" s="3">
        <f>E116+(F116*C116/1000)</f>
        <v>80.86</v>
      </c>
      <c r="AB116" s="3">
        <f>(E116*3)+(F116*C116*3/1000)</f>
        <v>242.58</v>
      </c>
      <c r="AC116" s="24"/>
    </row>
    <row r="117" spans="1:29" x14ac:dyDescent="0.25">
      <c r="A117" s="1" t="s">
        <v>153</v>
      </c>
      <c r="B117" s="8">
        <v>42548</v>
      </c>
      <c r="C117" s="2">
        <f>Calculator!B$5</f>
        <v>6000</v>
      </c>
      <c r="E117" s="3">
        <v>90.62</v>
      </c>
      <c r="F117" s="3">
        <v>14.6</v>
      </c>
      <c r="AA117" s="3">
        <f>E117+(C117*F117/1000)</f>
        <v>178.22</v>
      </c>
      <c r="AB117" s="3">
        <f>AA117*3</f>
        <v>534.66</v>
      </c>
    </row>
    <row r="118" spans="1:29" x14ac:dyDescent="0.25">
      <c r="A118" s="1" t="s">
        <v>154</v>
      </c>
      <c r="B118" s="8">
        <v>42548</v>
      </c>
      <c r="C118" s="2">
        <f>Calculator!B$5</f>
        <v>6000</v>
      </c>
      <c r="E118" s="3">
        <v>60.41</v>
      </c>
      <c r="F118" s="3">
        <v>14.6</v>
      </c>
      <c r="AA118" s="3">
        <f>E118+(C118*F118/1000)</f>
        <v>148.01</v>
      </c>
      <c r="AB118" s="3">
        <f>AA118*3</f>
        <v>444.03</v>
      </c>
    </row>
    <row r="119" spans="1:29" x14ac:dyDescent="0.25">
      <c r="A119" s="1" t="s">
        <v>155</v>
      </c>
      <c r="C119" s="2">
        <f>Calculator!B$5</f>
        <v>6000</v>
      </c>
      <c r="E119" s="3">
        <v>45.02</v>
      </c>
      <c r="F119" s="3">
        <v>4.29</v>
      </c>
      <c r="G119" s="21">
        <v>3.871</v>
      </c>
      <c r="H119" s="21">
        <v>3.464</v>
      </c>
      <c r="I119" s="21"/>
      <c r="J119" s="2">
        <v>34000</v>
      </c>
      <c r="K119" s="2">
        <v>120000</v>
      </c>
      <c r="M119" s="3">
        <f>F119*J119/1000</f>
        <v>145.86000000000001</v>
      </c>
      <c r="N119" s="3">
        <f>G119*K119/1000</f>
        <v>464.52</v>
      </c>
      <c r="O119" s="3"/>
      <c r="P119" s="3">
        <f>((C119*3)-J119)*G119/1000</f>
        <v>-61.936</v>
      </c>
      <c r="Q119" s="3">
        <f>((C119*3)-J119-K119)*H119/1000</f>
        <v>-471.10399999999998</v>
      </c>
      <c r="R119" s="3"/>
      <c r="S119" s="3">
        <f>E119+(C119*3*F119)/1000</f>
        <v>122.24000000000001</v>
      </c>
      <c r="T119" s="2">
        <f>E119+M119+P119</f>
        <v>128.94400000000002</v>
      </c>
      <c r="U119" s="2">
        <f>E119+M119+N119+Q119</f>
        <v>184.29599999999999</v>
      </c>
      <c r="W119" s="2" t="b">
        <f>C119*3&lt;=J119</f>
        <v>1</v>
      </c>
      <c r="X119" s="2" t="b">
        <f>AND(C119*3&lt;=(J119+K119),C119*3&gt;J119)</f>
        <v>0</v>
      </c>
      <c r="Y119" s="2" t="b">
        <f>C119*3&gt;(J119+K119)</f>
        <v>0</v>
      </c>
      <c r="AA119" s="3">
        <v>0</v>
      </c>
      <c r="AB119" s="3">
        <f>INDEX(S119:U119,MATCH($AC$4,W119:Y119,0))</f>
        <v>122.24000000000001</v>
      </c>
    </row>
    <row r="120" spans="1:29" x14ac:dyDescent="0.25">
      <c r="A120" s="1" t="s">
        <v>156</v>
      </c>
      <c r="C120" s="2">
        <f>Calculator!B$5</f>
        <v>6000</v>
      </c>
      <c r="E120" s="3">
        <v>18.940000000000001</v>
      </c>
      <c r="F120" s="3">
        <v>4.29</v>
      </c>
      <c r="G120" s="21">
        <v>3.871</v>
      </c>
      <c r="H120" s="21">
        <v>3.464</v>
      </c>
      <c r="I120" s="21"/>
      <c r="J120" s="2">
        <v>34000</v>
      </c>
      <c r="K120" s="2">
        <v>120000</v>
      </c>
      <c r="M120" s="3">
        <f>F120*J120/1000</f>
        <v>145.86000000000001</v>
      </c>
      <c r="N120" s="3">
        <f>G120*K120/1000</f>
        <v>464.52</v>
      </c>
      <c r="O120" s="3"/>
      <c r="P120" s="3">
        <f>((C120*3)-J120)*G120/1000</f>
        <v>-61.936</v>
      </c>
      <c r="Q120" s="3">
        <f>((C120*3)-J120-K120)*H120/1000</f>
        <v>-471.10399999999998</v>
      </c>
      <c r="R120" s="3"/>
      <c r="S120" s="3">
        <f>E120+(C120*3*F120)/1000</f>
        <v>96.16</v>
      </c>
      <c r="T120" s="2">
        <f>E120+M120+P120</f>
        <v>102.864</v>
      </c>
      <c r="U120" s="2">
        <f>E120+M120+N120+Q120</f>
        <v>158.21599999999995</v>
      </c>
      <c r="W120" s="2" t="b">
        <f>C120*3&lt;=J120</f>
        <v>1</v>
      </c>
      <c r="X120" s="2" t="b">
        <f>AND(C120*3&lt;=(J120+K120),C120*3&gt;J120)</f>
        <v>0</v>
      </c>
      <c r="Y120" s="2" t="b">
        <f>C120*3&gt;(J120+K120)</f>
        <v>0</v>
      </c>
      <c r="AA120" s="3">
        <v>0</v>
      </c>
      <c r="AB120" s="3">
        <f>INDEX(S120:U120,MATCH($AC$4,W120:Y120,0))</f>
        <v>96.16</v>
      </c>
    </row>
    <row r="121" spans="1:29" x14ac:dyDescent="0.25">
      <c r="A121" s="1" t="s">
        <v>157</v>
      </c>
      <c r="B121" s="8">
        <v>42388</v>
      </c>
      <c r="C121" s="2">
        <f>Calculator!B$5</f>
        <v>6000</v>
      </c>
      <c r="E121" s="3">
        <v>13.75</v>
      </c>
      <c r="F121" s="3">
        <v>7.7506000000000004</v>
      </c>
      <c r="G121" s="9">
        <v>5.4321000000000002</v>
      </c>
      <c r="H121" s="9"/>
      <c r="I121" s="9"/>
      <c r="J121" s="2">
        <v>25000</v>
      </c>
      <c r="K121" s="9"/>
      <c r="L121" s="9"/>
      <c r="M121" s="3">
        <f>F121*J121/1000</f>
        <v>193.76499999999999</v>
      </c>
      <c r="N121" s="9"/>
      <c r="O121" s="9"/>
      <c r="P121" s="3">
        <f>(C121-J121)*G121/1000</f>
        <v>-103.2099</v>
      </c>
      <c r="Q121" s="3"/>
      <c r="R121" s="3"/>
      <c r="S121" s="3"/>
      <c r="T121" s="3">
        <f>E121+M121+P121</f>
        <v>104.30509999999998</v>
      </c>
      <c r="U121" s="3"/>
      <c r="V121" s="3"/>
      <c r="W121" s="3"/>
      <c r="X121" s="3"/>
      <c r="Y121" s="3"/>
      <c r="Z121" s="3"/>
      <c r="AA121" s="3">
        <f>IF((C121)&gt;J121,T121,E121+(F121*(C121)/1000))</f>
        <v>60.253600000000006</v>
      </c>
      <c r="AB121" s="3">
        <v>0</v>
      </c>
    </row>
    <row r="122" spans="1:29" x14ac:dyDescent="0.25">
      <c r="A122" s="1" t="s">
        <v>158</v>
      </c>
      <c r="B122" s="22" t="s">
        <v>42</v>
      </c>
      <c r="C122" s="2">
        <f>Calculator!B$5</f>
        <v>6000</v>
      </c>
      <c r="E122" s="3">
        <v>12</v>
      </c>
      <c r="F122" s="3">
        <v>6.59</v>
      </c>
      <c r="G122" s="21"/>
      <c r="H122" s="21"/>
      <c r="I122" s="21"/>
      <c r="M122" s="3"/>
      <c r="N122" s="3"/>
      <c r="O122" s="3"/>
      <c r="P122" s="3"/>
      <c r="Q122" s="3"/>
      <c r="R122" s="3"/>
      <c r="S122" s="3"/>
      <c r="T122" s="3"/>
      <c r="U122" s="3"/>
      <c r="V122" s="3"/>
      <c r="W122" s="3"/>
      <c r="X122" s="3"/>
      <c r="Y122" s="3"/>
      <c r="Z122" s="3"/>
      <c r="AA122" s="3">
        <f>E122+(F122*C122/1000)</f>
        <v>51.54</v>
      </c>
      <c r="AB122" s="3">
        <f>(E122*3)+(F122*C122*3/1000)</f>
        <v>154.62</v>
      </c>
    </row>
    <row r="123" spans="1:29" x14ac:dyDescent="0.25">
      <c r="A123" s="1" t="s">
        <v>159</v>
      </c>
      <c r="B123" s="12" t="s">
        <v>42</v>
      </c>
      <c r="C123" s="2">
        <f>Calculator!B$5</f>
        <v>6000</v>
      </c>
      <c r="D123" s="1"/>
      <c r="E123" s="3">
        <v>6</v>
      </c>
      <c r="F123" s="1">
        <v>2.02</v>
      </c>
      <c r="G123" s="1">
        <v>1</v>
      </c>
      <c r="H123" s="1"/>
      <c r="I123" s="1"/>
      <c r="J123" s="2">
        <v>10000</v>
      </c>
      <c r="K123" s="1"/>
      <c r="L123" s="1"/>
      <c r="M123" s="3">
        <f>J123*F123/1000</f>
        <v>20.2</v>
      </c>
      <c r="N123" s="3"/>
      <c r="O123" s="3"/>
      <c r="P123" s="3">
        <f>(C123-J123)*G123/1000</f>
        <v>-4</v>
      </c>
      <c r="Q123" s="3"/>
      <c r="R123" s="3"/>
      <c r="S123" s="3"/>
      <c r="T123" s="3">
        <f>E123+M123+P123</f>
        <v>22.2</v>
      </c>
      <c r="U123" s="3"/>
      <c r="V123" s="3"/>
      <c r="W123" s="3"/>
      <c r="X123" s="3"/>
      <c r="Y123" s="3"/>
      <c r="Z123" s="3"/>
      <c r="AA123" s="3">
        <f>IF(C123&gt;J123,T123,E123+(F123*C123/1000))</f>
        <v>18.119999999999997</v>
      </c>
      <c r="AB123" s="3">
        <v>0</v>
      </c>
    </row>
    <row r="124" spans="1:29" x14ac:dyDescent="0.25">
      <c r="A124" s="1" t="s">
        <v>160</v>
      </c>
      <c r="B124" s="8">
        <v>42388</v>
      </c>
      <c r="C124" s="2">
        <f>Calculator!B$5</f>
        <v>6000</v>
      </c>
      <c r="E124" s="3">
        <v>29.48</v>
      </c>
      <c r="F124" s="3">
        <f>4.33*1.33681</f>
        <v>5.7883873000000001</v>
      </c>
      <c r="AA124" s="3">
        <f>E124+(C124*F124/1000)</f>
        <v>64.210323799999998</v>
      </c>
      <c r="AB124" s="3">
        <v>0</v>
      </c>
    </row>
    <row r="125" spans="1:29" x14ac:dyDescent="0.25">
      <c r="A125" s="1" t="s">
        <v>161</v>
      </c>
      <c r="B125" s="8">
        <v>42388</v>
      </c>
      <c r="C125" s="2">
        <f>Calculator!B$5</f>
        <v>6000</v>
      </c>
      <c r="E125" s="3">
        <v>19.649999999999999</v>
      </c>
      <c r="F125" s="3">
        <f>4.33*1.33681</f>
        <v>5.7883873000000001</v>
      </c>
      <c r="AA125" s="3">
        <f>E125+(C125*F125/1000)</f>
        <v>54.380323799999999</v>
      </c>
      <c r="AB125" s="3">
        <v>0</v>
      </c>
    </row>
    <row r="126" spans="1:29" x14ac:dyDescent="0.25">
      <c r="A126" s="1" t="s">
        <v>162</v>
      </c>
      <c r="B126" s="22" t="s">
        <v>42</v>
      </c>
      <c r="C126" s="2">
        <f>Calculator!B$5</f>
        <v>6000</v>
      </c>
      <c r="E126" s="3">
        <v>43.75</v>
      </c>
      <c r="M126" s="3"/>
      <c r="N126" s="3"/>
      <c r="O126" s="3"/>
      <c r="P126" s="3"/>
      <c r="Q126" s="3"/>
      <c r="R126" s="3"/>
      <c r="S126" s="3"/>
      <c r="T126" s="3"/>
      <c r="U126" s="3"/>
      <c r="V126" s="3"/>
      <c r="W126" s="3"/>
      <c r="X126" s="3"/>
      <c r="Y126" s="3"/>
      <c r="Z126" s="3"/>
      <c r="AA126" s="3">
        <v>0</v>
      </c>
      <c r="AB126" s="3">
        <f>E126+(F126*C126*3/1000)</f>
        <v>43.75</v>
      </c>
    </row>
    <row r="127" spans="1:29" x14ac:dyDescent="0.25">
      <c r="A127" s="1" t="s">
        <v>163</v>
      </c>
      <c r="C127" s="2">
        <f>Calculator!B$5</f>
        <v>6000</v>
      </c>
      <c r="E127" s="3">
        <v>26.68</v>
      </c>
      <c r="F127" s="3">
        <v>4.88</v>
      </c>
      <c r="AA127" s="3">
        <f>E127+(C127*F127/1000)</f>
        <v>55.96</v>
      </c>
      <c r="AB127" s="3">
        <v>0</v>
      </c>
    </row>
    <row r="128" spans="1:29" x14ac:dyDescent="0.25">
      <c r="A128" s="1" t="s">
        <v>164</v>
      </c>
      <c r="C128" s="2">
        <f>Calculator!B$5</f>
        <v>6000</v>
      </c>
      <c r="E128" s="3">
        <v>19.78</v>
      </c>
      <c r="F128" s="3">
        <v>4.88</v>
      </c>
      <c r="AA128" s="3">
        <f>E128+(C128*F128/1000)</f>
        <v>49.06</v>
      </c>
      <c r="AB128" s="3">
        <v>0</v>
      </c>
    </row>
    <row r="129" spans="1:28" x14ac:dyDescent="0.25">
      <c r="A129" s="1" t="s">
        <v>165</v>
      </c>
      <c r="B129" s="8">
        <v>42390</v>
      </c>
      <c r="C129" s="2">
        <f>Calculator!B$5</f>
        <v>6000</v>
      </c>
      <c r="E129" s="3">
        <v>24</v>
      </c>
      <c r="F129" s="3">
        <v>7</v>
      </c>
      <c r="AA129" s="3">
        <f>E129+(C129*F129/1000)</f>
        <v>66</v>
      </c>
      <c r="AB129" s="3"/>
    </row>
    <row r="130" spans="1:28" x14ac:dyDescent="0.25">
      <c r="A130" s="1" t="s">
        <v>166</v>
      </c>
      <c r="B130" s="8">
        <v>42389</v>
      </c>
      <c r="C130" s="2">
        <f>Calculator!B$5</f>
        <v>6000</v>
      </c>
      <c r="E130" s="3">
        <v>22</v>
      </c>
      <c r="F130" s="3">
        <v>4.4349999999999996</v>
      </c>
      <c r="AA130" s="3">
        <f>E130+(C130*F130/1000)</f>
        <v>48.61</v>
      </c>
      <c r="AB130" s="3">
        <v>0</v>
      </c>
    </row>
    <row r="131" spans="1:28" x14ac:dyDescent="0.25">
      <c r="A131" s="1" t="s">
        <v>2</v>
      </c>
      <c r="B131" s="8">
        <v>42389</v>
      </c>
      <c r="C131" s="2">
        <f>Calculator!B$5</f>
        <v>6000</v>
      </c>
      <c r="E131" s="3">
        <v>16</v>
      </c>
      <c r="F131" s="3">
        <v>4.4349999999999996</v>
      </c>
      <c r="AA131" s="3">
        <f>E131+(C131*F131/1000)</f>
        <v>42.61</v>
      </c>
      <c r="AB131" s="3">
        <v>0</v>
      </c>
    </row>
  </sheetData>
  <mergeCells count="21">
    <mergeCell ref="U2:U3"/>
    <mergeCell ref="V2:V3"/>
    <mergeCell ref="AA2:AA3"/>
    <mergeCell ref="AB2:AB3"/>
    <mergeCell ref="AC2:AC3"/>
    <mergeCell ref="T2:T3"/>
    <mergeCell ref="P2:P3"/>
    <mergeCell ref="E2:E3"/>
    <mergeCell ref="F2:F3"/>
    <mergeCell ref="G2:G3"/>
    <mergeCell ref="H2:H3"/>
    <mergeCell ref="I2:I3"/>
    <mergeCell ref="J2:J3"/>
    <mergeCell ref="K2:K3"/>
    <mergeCell ref="L2:L3"/>
    <mergeCell ref="M2:M3"/>
    <mergeCell ref="N2:N3"/>
    <mergeCell ref="O2:O3"/>
    <mergeCell ref="Q2:Q3"/>
    <mergeCell ref="R2:R3"/>
    <mergeCell ref="S2:S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Inputs</vt:lpstr>
      <vt:lpstr>Calculator!Print_Area</vt:lpstr>
    </vt:vector>
  </TitlesOfParts>
  <Manager/>
  <Company>PAOCA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Water Rates Calculator for OCA Website (00224158).XLSX</dc:title>
  <dc:subject/>
  <dc:creator>ae1</dc:creator>
  <cp:keywords/>
  <dc:description/>
  <cp:lastModifiedBy>Erin West</cp:lastModifiedBy>
  <cp:revision/>
  <dcterms:created xsi:type="dcterms:W3CDTF">2014-01-06T18:58:24Z</dcterms:created>
  <dcterms:modified xsi:type="dcterms:W3CDTF">2020-04-16T20:06:50Z</dcterms:modified>
  <cp:category/>
  <cp:contentStatus/>
</cp:coreProperties>
</file>