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earsmo1_msu_edu/Documents/Extension/"/>
    </mc:Choice>
  </mc:AlternateContent>
  <xr:revisionPtr revIDLastSave="8" documentId="8_{4C20F571-A2E4-4E40-B013-4CC8B90E87A7}" xr6:coauthVersionLast="47" xr6:coauthVersionMax="47" xr10:uidLastSave="{A3F9F2EF-BD27-4D22-B4B1-7EC347C7FE74}"/>
  <bookViews>
    <workbookView xWindow="73680" yWindow="-120" windowWidth="29040" windowHeight="15720" xr2:uid="{A5FC2BFD-CF24-374A-A58D-330114068DF3}"/>
  </bookViews>
  <sheets>
    <sheet name="Retrofit Calculator" sheetId="13" r:id="rId1"/>
    <sheet name="Cost of Production" sheetId="7" state="hidden" r:id="rId2"/>
    <sheet name="Cash Flow" sheetId="10" state="hidden" r:id="rId3"/>
    <sheet name="Retrofit Costs" sheetId="14" state="hidden" r:id="rId4"/>
  </sheets>
  <definedNames>
    <definedName name="_xlnm.Print_Area" localSheetId="1">'Cost of Production'!$A$1:$J$87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3" l="1"/>
  <c r="H36" i="13"/>
  <c r="C32" i="14" l="1"/>
  <c r="F27" i="14"/>
  <c r="F26" i="14"/>
  <c r="F25" i="14"/>
  <c r="D25" i="13"/>
  <c r="C25" i="13"/>
  <c r="A24" i="10"/>
  <c r="A25" i="10" s="1"/>
  <c r="A26" i="10" s="1"/>
  <c r="A27" i="10" s="1"/>
  <c r="A28" i="10" s="1"/>
  <c r="A29" i="10" s="1"/>
  <c r="A30" i="10" s="1"/>
  <c r="A31" i="10" s="1"/>
  <c r="A32" i="10" s="1"/>
  <c r="A33" i="10" s="1"/>
  <c r="F28" i="14" l="1"/>
  <c r="A5" i="10"/>
  <c r="E20" i="7"/>
  <c r="D20" i="7"/>
  <c r="H33" i="10"/>
  <c r="H32" i="10"/>
  <c r="G33" i="10"/>
  <c r="G32" i="10"/>
  <c r="C33" i="10"/>
  <c r="C32" i="10"/>
  <c r="H19" i="7"/>
  <c r="G19" i="7"/>
  <c r="E19" i="7"/>
  <c r="H7" i="7"/>
  <c r="G7" i="7"/>
  <c r="E7" i="7"/>
  <c r="D19" i="7"/>
  <c r="D7" i="7"/>
  <c r="E8" i="7"/>
  <c r="D8" i="7"/>
  <c r="H18" i="7"/>
  <c r="G18" i="7"/>
  <c r="H6" i="7"/>
  <c r="G6" i="7"/>
  <c r="E6" i="7"/>
  <c r="D6" i="7"/>
  <c r="E18" i="7"/>
  <c r="D18" i="7"/>
  <c r="H43" i="13"/>
  <c r="B23" i="10"/>
  <c r="E23" i="10" s="1"/>
  <c r="C16" i="14"/>
  <c r="F11" i="14"/>
  <c r="F10" i="14"/>
  <c r="F9" i="14"/>
  <c r="J26" i="13"/>
  <c r="E26" i="13"/>
  <c r="H8" i="7" l="1"/>
  <c r="H27" i="10" s="1"/>
  <c r="G8" i="7"/>
  <c r="G26" i="10" s="1"/>
  <c r="G20" i="7"/>
  <c r="H20" i="7"/>
  <c r="F12" i="14"/>
  <c r="H35" i="13" s="1"/>
  <c r="B4" i="10" s="1"/>
  <c r="H25" i="10" l="1"/>
  <c r="G31" i="10"/>
  <c r="H29" i="10"/>
  <c r="H31" i="10"/>
  <c r="H30" i="10"/>
  <c r="D23" i="7"/>
  <c r="D24" i="7" s="1"/>
  <c r="H26" i="10"/>
  <c r="H24" i="10"/>
  <c r="G30" i="10"/>
  <c r="G28" i="10"/>
  <c r="G27" i="10"/>
  <c r="G29" i="10"/>
  <c r="G24" i="10"/>
  <c r="H28" i="10"/>
  <c r="G25" i="10"/>
  <c r="G35" i="10" l="1"/>
  <c r="H35" i="10"/>
  <c r="E4" i="10"/>
  <c r="F23" i="10"/>
  <c r="B35" i="10"/>
  <c r="C50" i="13" l="1"/>
  <c r="D23" i="10"/>
  <c r="B16" i="10" l="1"/>
  <c r="G5" i="10" l="1"/>
  <c r="H5" i="10"/>
  <c r="C5" i="10"/>
  <c r="D4" i="10"/>
  <c r="D11" i="7"/>
  <c r="F4" i="10"/>
  <c r="A6" i="10" l="1"/>
  <c r="G95" i="7"/>
  <c r="G89" i="7"/>
  <c r="G90" i="7" s="1"/>
  <c r="H92" i="7"/>
  <c r="G6" i="10" l="1"/>
  <c r="H6" i="10"/>
  <c r="C6" i="10"/>
  <c r="G96" i="7"/>
  <c r="A7" i="10"/>
  <c r="G7" i="10" l="1"/>
  <c r="H7" i="10"/>
  <c r="C7" i="10"/>
  <c r="A8" i="10"/>
  <c r="G8" i="10" l="1"/>
  <c r="H8" i="10"/>
  <c r="C8" i="10"/>
  <c r="A9" i="10"/>
  <c r="H9" i="10" l="1"/>
  <c r="G9" i="10"/>
  <c r="C9" i="10"/>
  <c r="A10" i="10"/>
  <c r="H10" i="10" l="1"/>
  <c r="G10" i="10"/>
  <c r="C10" i="10"/>
  <c r="A11" i="10"/>
  <c r="G11" i="10" l="1"/>
  <c r="H11" i="10"/>
  <c r="C11" i="10"/>
  <c r="A12" i="10"/>
  <c r="G12" i="10" l="1"/>
  <c r="H12" i="10"/>
  <c r="C12" i="10"/>
  <c r="A13" i="10"/>
  <c r="H13" i="10" l="1"/>
  <c r="C13" i="10"/>
  <c r="G13" i="10"/>
  <c r="A14" i="10"/>
  <c r="C14" i="10" l="1"/>
  <c r="G14" i="10"/>
  <c r="H14" i="10"/>
  <c r="H16" i="10" l="1"/>
  <c r="G16" i="10"/>
  <c r="D12" i="7"/>
  <c r="C24" i="10" s="1"/>
  <c r="H50" i="13" l="1"/>
  <c r="D33" i="10"/>
  <c r="E33" i="10" s="1"/>
  <c r="D32" i="10"/>
  <c r="E32" i="10" s="1"/>
  <c r="D24" i="10"/>
  <c r="E24" i="10" s="1"/>
  <c r="C26" i="10"/>
  <c r="D26" i="10" s="1"/>
  <c r="E26" i="10" s="1"/>
  <c r="C25" i="10"/>
  <c r="D25" i="10" s="1"/>
  <c r="E25" i="10" s="1"/>
  <c r="C31" i="10"/>
  <c r="D31" i="10" s="1"/>
  <c r="E31" i="10" s="1"/>
  <c r="C30" i="10"/>
  <c r="D30" i="10" s="1"/>
  <c r="E30" i="10" s="1"/>
  <c r="C28" i="10"/>
  <c r="C29" i="10"/>
  <c r="D29" i="10" s="1"/>
  <c r="E29" i="10" s="1"/>
  <c r="C27" i="10"/>
  <c r="D27" i="10" s="1"/>
  <c r="E27" i="10" s="1"/>
  <c r="D11" i="10"/>
  <c r="E11" i="10" s="1"/>
  <c r="D12" i="10"/>
  <c r="E12" i="10" s="1"/>
  <c r="D10" i="10"/>
  <c r="E10" i="10" s="1"/>
  <c r="D7" i="10"/>
  <c r="E7" i="10" s="1"/>
  <c r="D8" i="10"/>
  <c r="E8" i="10" s="1"/>
  <c r="D6" i="10"/>
  <c r="E6" i="10" s="1"/>
  <c r="D9" i="10"/>
  <c r="E9" i="10" s="1"/>
  <c r="D13" i="10"/>
  <c r="E13" i="10" s="1"/>
  <c r="D14" i="10"/>
  <c r="E14" i="10" s="1"/>
  <c r="C16" i="10"/>
  <c r="D5" i="10"/>
  <c r="E5" i="10" s="1"/>
  <c r="D28" i="10" l="1"/>
  <c r="E28" i="10" s="1"/>
  <c r="H51" i="13"/>
  <c r="C35" i="10"/>
  <c r="D19" i="10"/>
  <c r="D16" i="10"/>
  <c r="D35" i="10" l="1"/>
  <c r="C51" i="13"/>
  <c r="D38" i="10"/>
  <c r="E16" i="10"/>
  <c r="H52" i="13" s="1"/>
  <c r="F5" i="10"/>
  <c r="F6" i="10" s="1"/>
  <c r="F7" i="10" l="1"/>
  <c r="F8" i="10" s="1"/>
  <c r="F9" i="10" s="1"/>
  <c r="F10" i="10" s="1"/>
  <c r="F11" i="10" s="1"/>
  <c r="F12" i="10" s="1"/>
  <c r="F13" i="10" s="1"/>
  <c r="F14" i="10" s="1"/>
  <c r="F24" i="10"/>
  <c r="F25" i="10" s="1"/>
  <c r="E35" i="10"/>
  <c r="D20" i="10" l="1"/>
  <c r="D21" i="10" s="1"/>
  <c r="F26" i="10"/>
  <c r="F27" i="10" s="1"/>
  <c r="F28" i="10" s="1"/>
  <c r="F29" i="10" s="1"/>
  <c r="F30" i="10" s="1"/>
  <c r="F31" i="10" s="1"/>
  <c r="F32" i="10" s="1"/>
  <c r="F33" i="10" s="1"/>
  <c r="C52" i="13"/>
  <c r="D39" i="10" l="1"/>
  <c r="H53" i="13"/>
  <c r="D40" i="10" l="1"/>
  <c r="C53" i="13" s="1"/>
</calcChain>
</file>

<file path=xl/sharedStrings.xml><?xml version="1.0" encoding="utf-8"?>
<sst xmlns="http://schemas.openxmlformats.org/spreadsheetml/2006/main" count="175" uniqueCount="104">
  <si>
    <t>Percentage of Rotation</t>
  </si>
  <si>
    <t>Gross Margin Benefit with Irrigation</t>
  </si>
  <si>
    <t>------------</t>
  </si>
  <si>
    <t>TOTAL</t>
  </si>
  <si>
    <t>==========================================================================</t>
  </si>
  <si>
    <t>Crops to be grown</t>
  </si>
  <si>
    <t>*** CROP PRODUCTION INFORMATION ***</t>
  </si>
  <si>
    <t>All Acres</t>
  </si>
  <si>
    <t>A negative NPV indicates a return less than the desired opportunity cost of capital</t>
  </si>
  <si>
    <t>per irrigated Acre</t>
  </si>
  <si>
    <t>Beginning</t>
  </si>
  <si>
    <t>Net Present Value Discounted After Tax Cash Flow =</t>
  </si>
  <si>
    <t xml:space="preserve">A Positive NPV indicates that the investment (over the life of the investemnt) returned higher than the desired opportunity cost of capital </t>
  </si>
  <si>
    <t>Internal Rate of Return Before Tax</t>
  </si>
  <si>
    <t>Internal Rate of Return After Tax</t>
  </si>
  <si>
    <t>IRR</t>
  </si>
  <si>
    <t>Corn</t>
  </si>
  <si>
    <t>Without Irrigation System Retrofit</t>
  </si>
  <si>
    <t>With Irrigation System Retrofit</t>
  </si>
  <si>
    <t>Soybeans</t>
  </si>
  <si>
    <t>Commodity</t>
  </si>
  <si>
    <t>Year</t>
  </si>
  <si>
    <t>Retrofit Cost</t>
  </si>
  <si>
    <t>Cash Flow</t>
  </si>
  <si>
    <t>Changes in Profit</t>
  </si>
  <si>
    <t>Present Value</t>
  </si>
  <si>
    <t>Net Present Value</t>
  </si>
  <si>
    <t>Pre-retrofit Scheduling Coefficient</t>
  </si>
  <si>
    <t>Post-retrofit Scheduling Coefficient</t>
  </si>
  <si>
    <t>Sources:</t>
  </si>
  <si>
    <t>Average energy costs ($/acre-inch)</t>
  </si>
  <si>
    <t>Average irrigation amount (inch)</t>
  </si>
  <si>
    <t>Payback Period (Years)</t>
  </si>
  <si>
    <t>Balance</t>
  </si>
  <si>
    <t>Payback Period (Year)</t>
  </si>
  <si>
    <t>Changes in Revenue</t>
  </si>
  <si>
    <t>Changes in Costs</t>
  </si>
  <si>
    <t>Changes in Profits</t>
  </si>
  <si>
    <t>Average irrigation amount (acre-inch)</t>
  </si>
  <si>
    <t>Average Energy Costs ($/acre-inch)</t>
  </si>
  <si>
    <t>Enter testing results on pre-retrofit SC</t>
  </si>
  <si>
    <t>Enter testing results on post-retrofit SC</t>
  </si>
  <si>
    <t>Default (Baseline)</t>
  </si>
  <si>
    <t xml:space="preserve">Individual Farm </t>
  </si>
  <si>
    <t>Step 2. Enter Information on Farm Operation</t>
  </si>
  <si>
    <t>1. Farm Information</t>
  </si>
  <si>
    <t>2. Baseline for Reference</t>
  </si>
  <si>
    <t>Life Expectancy (years)</t>
  </si>
  <si>
    <t>Retrofit Costs ($)</t>
  </si>
  <si>
    <t>- Material costs ($)</t>
  </si>
  <si>
    <t>Step 3. Enter Information on Irrigation System Retrofit</t>
  </si>
  <si>
    <t>Brand</t>
  </si>
  <si>
    <t>Impact Sprinkler</t>
  </si>
  <si>
    <t>Nelson R3000 Rotators</t>
  </si>
  <si>
    <t>Senn I-Wobs</t>
  </si>
  <si>
    <t>Average price</t>
  </si>
  <si>
    <t>Material Costs</t>
  </si>
  <si>
    <t>Labor Costs</t>
  </si>
  <si>
    <t>Hours</t>
  </si>
  <si>
    <t>Wage($/hour)</t>
  </si>
  <si>
    <t>Pressure Regulators ($)</t>
  </si>
  <si>
    <t>Enter the quoted price</t>
  </si>
  <si>
    <t>Step 4. Evalutate the Results</t>
  </si>
  <si>
    <t>1. Farm Results</t>
  </si>
  <si>
    <t>Version 1.0</t>
  </si>
  <si>
    <t>2. Baseline Information</t>
  </si>
  <si>
    <t>Average Electricity Cost Savings ($/year)</t>
  </si>
  <si>
    <t>Changes in Water Savings</t>
  </si>
  <si>
    <t>Average Water Savings (gal./year)</t>
  </si>
  <si>
    <t>= Material costs + Labor costs</t>
  </si>
  <si>
    <t>Enter the beginning year</t>
  </si>
  <si>
    <t xml:space="preserve">https://www.canr.msu.edu/news/analyzing-the-costs-of-energy-for-irrigation-in-michigan#:~:text=Across%20all%20irrigation%20systems%20in,information%20about%20the%20local%20conditions </t>
  </si>
  <si>
    <t>Average Energy Costs in Michigan from MSU Extension article:</t>
  </si>
  <si>
    <t>Field sizes (acres):</t>
  </si>
  <si>
    <t>1. Field size (acres):</t>
  </si>
  <si>
    <t>2. Field size (acres):</t>
  </si>
  <si>
    <t>Select Field Size</t>
  </si>
  <si>
    <t># of Sprinklers</t>
  </si>
  <si>
    <t>Unit Price ($/ea)</t>
  </si>
  <si>
    <t>Total Costs ($)</t>
  </si>
  <si>
    <t>Drop Assemblies Unit Price ($/ea)</t>
  </si>
  <si>
    <t>Step 0. Instructions</t>
  </si>
  <si>
    <t>- Labor costs ($)</t>
  </si>
  <si>
    <t>It may vary from 1.2 to 1.6</t>
  </si>
  <si>
    <t>Average Irrigation Level (acre-inch/acre)</t>
  </si>
  <si>
    <t>Cost of Capital (%)</t>
  </si>
  <si>
    <t>Water Savings (%)</t>
  </si>
  <si>
    <t>Total Irrigated Field Size (acres)</t>
  </si>
  <si>
    <t>Enter your major irrigated crop 1</t>
  </si>
  <si>
    <t>Enter your major irrigated crop 2</t>
  </si>
  <si>
    <t>Share of Irrigated Crops (%)</t>
  </si>
  <si>
    <t>Step 1. Enter Base Information of Your Farm</t>
  </si>
  <si>
    <t>- This spreadsheet calculates the expected rate of return and payback period for retrofitting an irrigation system sprinkler package</t>
  </si>
  <si>
    <t>- Calculations are made per irrigation system, based on overall field size.</t>
  </si>
  <si>
    <t xml:space="preserve">- Baseline values do differ based on farm size, so before proceeding with anything else, please adjust the farm size in acres (Cells C24-D24, C25) to the closest size of the field you're interested in.  </t>
  </si>
  <si>
    <t>feel free to use either the Coefficients from the baseline chart to the right, or the water savings</t>
  </si>
  <si>
    <t xml:space="preserve">If you have not conducted a test to determine </t>
  </si>
  <si>
    <t xml:space="preserve">your field's expected change in Scheduling Coefficients, </t>
  </si>
  <si>
    <r>
      <t xml:space="preserve">- For best results, enter your farm information in green boxes. </t>
    </r>
    <r>
      <rPr>
        <sz val="12"/>
        <color theme="1"/>
        <rFont val="Calibri (Body)"/>
      </rPr>
      <t>The gray and red boxes will update automatically as inputs for green boxes are filled.</t>
    </r>
  </si>
  <si>
    <t>2025 Irrigation System Retrofit Decision-Support Tool</t>
  </si>
  <si>
    <t xml:space="preserve">- For each step, baseline estimates are provided as a reference, using average values for the state of Michigan. For any green input boxes you are unsure about, feel free to input the baseline values </t>
  </si>
  <si>
    <t>from the chart on the right.</t>
  </si>
  <si>
    <t xml:space="preserve">- Financial benefits from the retrofit come from savings in electricity costs for irrigation. While yields may improve under a retrofitted system, we do not assume any yield increases </t>
  </si>
  <si>
    <t xml:space="preserve">in this spreadsheet.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</si>
</sst>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.00"/>
    <numFmt numFmtId="166" formatCode="0.0"/>
    <numFmt numFmtId="167" formatCode="0.0_);\(0.0\)"/>
    <numFmt numFmtId="168" formatCode="&quot;$&quot;#,##0.0_);\(&quot;$&quot;#,##0.0\)"/>
    <numFmt numFmtId="169" formatCode="&quot;$&quot;#,##0.0"/>
    <numFmt numFmtId="170" formatCode="_(* #,##0_);_(* \(#,##0\);_(* &quot;-&quot;??_);_(@_)"/>
  </numFmts>
  <fonts count="23">
    <font>
      <sz val="10"/>
      <name val="Arial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0"/>
      <name val="Arial"/>
      <family val="2"/>
    </font>
    <font>
      <b/>
      <sz val="14"/>
      <color theme="9" tint="-0.249977111117893"/>
      <name val="Calibri"/>
      <family val="2"/>
      <scheme val="minor"/>
    </font>
    <font>
      <b/>
      <sz val="20"/>
      <color rgb="FF18453B"/>
      <name val="Calibri"/>
      <family val="2"/>
      <scheme val="minor"/>
    </font>
    <font>
      <sz val="12"/>
      <color rgb="FF18453B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3" fontId="5" fillId="0" borderId="0"/>
    <xf numFmtId="7" fontId="5" fillId="0" borderId="0"/>
    <xf numFmtId="5" fontId="5" fillId="0" borderId="0"/>
    <xf numFmtId="14" fontId="5" fillId="0" borderId="0"/>
    <xf numFmtId="2" fontId="5" fillId="0" borderId="0"/>
    <xf numFmtId="0" fontId="2" fillId="0" borderId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10" fontId="5" fillId="0" borderId="0"/>
    <xf numFmtId="0" fontId="5" fillId="0" borderId="1"/>
    <xf numFmtId="43" fontId="15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5" fontId="4" fillId="0" borderId="0" xfId="0" quotePrefix="1" applyNumberFormat="1" applyFont="1" applyAlignment="1">
      <alignment horizontal="right"/>
    </xf>
    <xf numFmtId="5" fontId="6" fillId="0" borderId="0" xfId="0" applyNumberFormat="1" applyFont="1"/>
    <xf numFmtId="10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5" fontId="4" fillId="0" borderId="0" xfId="0" quotePrefix="1" applyNumberFormat="1" applyFont="1" applyAlignment="1">
      <alignment horizontal="center"/>
    </xf>
    <xf numFmtId="5" fontId="6" fillId="0" borderId="0" xfId="0" quotePrefix="1" applyNumberFormat="1" applyFont="1" applyAlignment="1">
      <alignment horizontal="center"/>
    </xf>
    <xf numFmtId="10" fontId="0" fillId="0" borderId="0" xfId="0" applyNumberFormat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/>
    </xf>
    <xf numFmtId="5" fontId="8" fillId="0" borderId="0" xfId="3" applyFont="1"/>
    <xf numFmtId="0" fontId="9" fillId="0" borderId="0" xfId="0" applyFont="1"/>
    <xf numFmtId="0" fontId="11" fillId="2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left"/>
    </xf>
    <xf numFmtId="165" fontId="8" fillId="0" borderId="0" xfId="0" applyNumberFormat="1" applyFont="1"/>
    <xf numFmtId="167" fontId="8" fillId="0" borderId="0" xfId="2" applyNumberFormat="1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7" fontId="8" fillId="0" borderId="0" xfId="2" applyFont="1" applyAlignment="1" applyProtection="1">
      <alignment horizontal="center"/>
      <protection locked="0"/>
    </xf>
    <xf numFmtId="165" fontId="9" fillId="0" borderId="0" xfId="0" applyNumberFormat="1" applyFont="1"/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7" fontId="9" fillId="0" borderId="0" xfId="2" applyNumberFormat="1" applyFont="1" applyAlignment="1" applyProtection="1">
      <alignment horizontal="center"/>
      <protection locked="0"/>
    </xf>
    <xf numFmtId="0" fontId="11" fillId="0" borderId="0" xfId="0" applyFont="1"/>
    <xf numFmtId="165" fontId="9" fillId="0" borderId="4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5" fontId="9" fillId="0" borderId="3" xfId="0" applyNumberFormat="1" applyFont="1" applyBorder="1"/>
    <xf numFmtId="10" fontId="9" fillId="0" borderId="3" xfId="0" applyNumberFormat="1" applyFont="1" applyBorder="1"/>
    <xf numFmtId="0" fontId="12" fillId="0" borderId="0" xfId="0" applyFont="1" applyAlignment="1">
      <alignment horizontal="right"/>
    </xf>
    <xf numFmtId="5" fontId="5" fillId="0" borderId="0" xfId="0" quotePrefix="1" applyNumberFormat="1" applyFont="1" applyAlignment="1">
      <alignment horizontal="center"/>
    </xf>
    <xf numFmtId="0" fontId="12" fillId="0" borderId="2" xfId="0" applyFont="1" applyBorder="1" applyAlignment="1">
      <alignment horizontal="center"/>
    </xf>
    <xf numFmtId="164" fontId="8" fillId="0" borderId="0" xfId="2" applyNumberFormat="1" applyFont="1" applyAlignment="1" applyProtection="1">
      <alignment horizontal="center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9" fontId="0" fillId="3" borderId="0" xfId="0" applyNumberFormat="1" applyFill="1"/>
    <xf numFmtId="0" fontId="5" fillId="3" borderId="0" xfId="0" applyFont="1" applyFill="1" applyAlignment="1">
      <alignment horizontal="right"/>
    </xf>
    <xf numFmtId="5" fontId="0" fillId="0" borderId="0" xfId="0" applyNumberFormat="1"/>
    <xf numFmtId="0" fontId="13" fillId="0" borderId="0" xfId="0" applyFont="1"/>
    <xf numFmtId="168" fontId="6" fillId="0" borderId="0" xfId="0" applyNumberFormat="1" applyFont="1"/>
    <xf numFmtId="169" fontId="0" fillId="0" borderId="0" xfId="0" applyNumberFormat="1"/>
    <xf numFmtId="168" fontId="0" fillId="0" borderId="0" xfId="0" applyNumberFormat="1"/>
    <xf numFmtId="0" fontId="12" fillId="0" borderId="0" xfId="0" quotePrefix="1" applyFont="1" applyAlignment="1">
      <alignment horizontal="right"/>
    </xf>
    <xf numFmtId="0" fontId="12" fillId="0" borderId="0" xfId="0" quotePrefix="1" applyFont="1"/>
    <xf numFmtId="0" fontId="12" fillId="0" borderId="0" xfId="0" applyFont="1" applyAlignment="1">
      <alignment horizontal="center" vertical="center"/>
    </xf>
    <xf numFmtId="5" fontId="4" fillId="0" borderId="0" xfId="0" quotePrefix="1" applyNumberFormat="1" applyFont="1" applyAlignment="1">
      <alignment horizontal="left"/>
    </xf>
    <xf numFmtId="5" fontId="5" fillId="0" borderId="0" xfId="0" applyNumberFormat="1" applyFont="1" applyAlignment="1">
      <alignment horizontal="center"/>
    </xf>
    <xf numFmtId="0" fontId="4" fillId="0" borderId="0" xfId="0" applyFont="1"/>
    <xf numFmtId="0" fontId="12" fillId="3" borderId="2" xfId="0" applyFont="1" applyFill="1" applyBorder="1" applyAlignment="1">
      <alignment horizontal="center"/>
    </xf>
    <xf numFmtId="10" fontId="5" fillId="3" borderId="2" xfId="9" applyFill="1" applyBorder="1" applyAlignment="1">
      <alignment horizontal="center"/>
    </xf>
    <xf numFmtId="10" fontId="5" fillId="0" borderId="2" xfId="9" applyBorder="1" applyAlignment="1">
      <alignment horizontal="center"/>
    </xf>
    <xf numFmtId="5" fontId="5" fillId="0" borderId="2" xfId="2" applyNumberFormat="1" applyBorder="1" applyAlignment="1">
      <alignment horizontal="center"/>
    </xf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11" xfId="0" applyFont="1" applyBorder="1"/>
    <xf numFmtId="0" fontId="16" fillId="5" borderId="0" xfId="0" applyFont="1" applyFill="1"/>
    <xf numFmtId="0" fontId="14" fillId="5" borderId="0" xfId="0" applyFont="1" applyFill="1"/>
    <xf numFmtId="0" fontId="12" fillId="0" borderId="12" xfId="0" applyFont="1" applyBorder="1"/>
    <xf numFmtId="0" fontId="12" fillId="0" borderId="13" xfId="0" applyFont="1" applyBorder="1" applyAlignment="1">
      <alignment horizontal="right"/>
    </xf>
    <xf numFmtId="0" fontId="12" fillId="0" borderId="13" xfId="0" applyFont="1" applyBorder="1" applyAlignment="1">
      <alignment horizontal="center"/>
    </xf>
    <xf numFmtId="0" fontId="12" fillId="0" borderId="13" xfId="0" applyFont="1" applyBorder="1"/>
    <xf numFmtId="0" fontId="12" fillId="0" borderId="14" xfId="0" applyFont="1" applyBorder="1"/>
    <xf numFmtId="9" fontId="5" fillId="3" borderId="2" xfId="9" applyNumberFormat="1" applyFill="1" applyBorder="1" applyAlignment="1">
      <alignment horizontal="center"/>
    </xf>
    <xf numFmtId="0" fontId="12" fillId="0" borderId="0" xfId="0" quotePrefix="1" applyFont="1" applyAlignment="1">
      <alignment horizontal="left"/>
    </xf>
    <xf numFmtId="9" fontId="5" fillId="0" borderId="2" xfId="9" applyNumberFormat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20" fillId="0" borderId="0" xfId="0" applyFont="1"/>
    <xf numFmtId="0" fontId="5" fillId="0" borderId="2" xfId="0" applyFont="1" applyBorder="1"/>
    <xf numFmtId="0" fontId="0" fillId="0" borderId="2" xfId="0" applyBorder="1"/>
    <xf numFmtId="0" fontId="4" fillId="0" borderId="2" xfId="0" applyFont="1" applyBorder="1"/>
    <xf numFmtId="1" fontId="4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5" fontId="5" fillId="3" borderId="2" xfId="2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7" fillId="0" borderId="0" xfId="8" applyAlignment="1" applyProtection="1"/>
    <xf numFmtId="0" fontId="4" fillId="6" borderId="2" xfId="0" applyFont="1" applyFill="1" applyBorder="1"/>
    <xf numFmtId="166" fontId="12" fillId="0" borderId="2" xfId="0" applyNumberFormat="1" applyFont="1" applyBorder="1" applyAlignment="1">
      <alignment horizontal="center"/>
    </xf>
    <xf numFmtId="166" fontId="0" fillId="3" borderId="0" xfId="0" applyNumberFormat="1" applyFill="1"/>
    <xf numFmtId="166" fontId="5" fillId="3" borderId="0" xfId="0" applyNumberFormat="1" applyFont="1" applyFill="1" applyAlignment="1">
      <alignment horizontal="right"/>
    </xf>
    <xf numFmtId="10" fontId="5" fillId="0" borderId="0" xfId="9"/>
    <xf numFmtId="0" fontId="21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quotePrefix="1" applyFont="1" applyAlignment="1">
      <alignment horizontal="left"/>
    </xf>
    <xf numFmtId="166" fontId="12" fillId="4" borderId="2" xfId="0" applyNumberFormat="1" applyFont="1" applyFill="1" applyBorder="1" applyAlignment="1">
      <alignment horizontal="center"/>
    </xf>
    <xf numFmtId="5" fontId="12" fillId="4" borderId="2" xfId="0" applyNumberFormat="1" applyFont="1" applyFill="1" applyBorder="1" applyAlignment="1">
      <alignment horizontal="center"/>
    </xf>
    <xf numFmtId="5" fontId="19" fillId="4" borderId="2" xfId="2" applyNumberFormat="1" applyFont="1" applyFill="1" applyBorder="1" applyAlignment="1">
      <alignment horizontal="center"/>
    </xf>
    <xf numFmtId="170" fontId="12" fillId="4" borderId="2" xfId="11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5" fillId="3" borderId="5" xfId="9" applyNumberFormat="1" applyFill="1" applyBorder="1" applyAlignment="1">
      <alignment horizontal="center"/>
    </xf>
    <xf numFmtId="0" fontId="5" fillId="3" borderId="6" xfId="9" applyNumberForma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0" fontId="4" fillId="0" borderId="0" xfId="9" applyFont="1" applyAlignment="1">
      <alignment horizontal="left"/>
    </xf>
    <xf numFmtId="0" fontId="12" fillId="0" borderId="0" xfId="0" quotePrefix="1" applyFont="1" applyAlignment="1">
      <alignment horizontal="left" indent="1"/>
    </xf>
    <xf numFmtId="0" fontId="1" fillId="0" borderId="0" xfId="0" quotePrefix="1" applyFont="1" applyAlignment="1">
      <alignment horizontal="left" indent="1"/>
    </xf>
    <xf numFmtId="170" fontId="12" fillId="4" borderId="5" xfId="11" applyNumberFormat="1" applyFont="1" applyFill="1" applyBorder="1" applyAlignment="1">
      <alignment horizontal="center" vertical="center"/>
    </xf>
    <xf numFmtId="170" fontId="12" fillId="4" borderId="6" xfId="11" applyNumberFormat="1" applyFont="1" applyFill="1" applyBorder="1" applyAlignment="1">
      <alignment horizontal="center" vertical="center"/>
    </xf>
  </cellXfs>
  <cellStyles count="12">
    <cellStyle name="Comma" xfId="11" builtinId="3"/>
    <cellStyle name="Comma0" xfId="1" xr:uid="{F4E05A8D-805B-3C42-83B7-5E0951E89813}"/>
    <cellStyle name="Currency" xfId="2" builtinId="4"/>
    <cellStyle name="Currency0" xfId="3" xr:uid="{EA8B774B-E3E3-8744-ADC8-F4D5F9B0CE3A}"/>
    <cellStyle name="Date" xfId="4" xr:uid="{83E7F39B-D731-BF46-AAAF-C2E6B6AB53AE}"/>
    <cellStyle name="Fixed" xfId="5" xr:uid="{67423F60-4D88-0F4B-9FC5-8DFA6320491E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Percent" xfId="9" builtinId="5"/>
    <cellStyle name="Total" xfId="10" builtinId="25" customBuiltin="1"/>
  </cellStyles>
  <dxfs count="2"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colors>
    <mruColors>
      <color rgb="FF184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s://www.canr.msu.edu/news/analyzing-the-costs-of-energy-for-irrigation-in-michig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D05BC-25F8-F347-84F8-5FCB53F7B398}">
  <dimension ref="A1:K59"/>
  <sheetViews>
    <sheetView showGridLines="0" tabSelected="1" zoomScale="125" zoomScaleNormal="120" workbookViewId="0">
      <selection activeCell="H53" sqref="H53:I53"/>
    </sheetView>
  </sheetViews>
  <sheetFormatPr defaultColWidth="10.796875" defaultRowHeight="15.75"/>
  <cols>
    <col min="1" max="1" width="1.796875" style="46" customWidth="1"/>
    <col min="2" max="2" width="33.33203125" style="46" customWidth="1"/>
    <col min="3" max="3" width="16.6640625" style="47" customWidth="1"/>
    <col min="4" max="5" width="16.6640625" style="46" customWidth="1"/>
    <col min="6" max="6" width="10.796875" style="46"/>
    <col min="7" max="7" width="33.33203125" style="46" customWidth="1"/>
    <col min="8" max="10" width="16.6640625" style="46" customWidth="1"/>
    <col min="11" max="11" width="1.796875" style="46" customWidth="1"/>
    <col min="12" max="16384" width="10.796875" style="46"/>
  </cols>
  <sheetData>
    <row r="1" spans="1:11" ht="16.149999999999999" thickBot="1"/>
    <row r="2" spans="1:11" ht="25.5">
      <c r="A2" s="66"/>
      <c r="B2" s="107" t="s">
        <v>99</v>
      </c>
      <c r="C2" s="107"/>
      <c r="D2" s="107"/>
      <c r="E2" s="107"/>
      <c r="F2" s="107"/>
      <c r="G2" s="107"/>
      <c r="H2" s="107"/>
      <c r="I2" s="107"/>
      <c r="J2" s="107"/>
      <c r="K2" s="67"/>
    </row>
    <row r="3" spans="1:11" ht="16.05" customHeight="1">
      <c r="A3" s="68"/>
      <c r="B3" s="69"/>
      <c r="C3" s="69"/>
      <c r="D3" s="69"/>
      <c r="E3" s="69"/>
      <c r="F3" s="69"/>
      <c r="G3" s="69"/>
      <c r="H3" s="69"/>
      <c r="I3" s="69"/>
      <c r="J3" s="70" t="s">
        <v>64</v>
      </c>
      <c r="K3" s="71"/>
    </row>
    <row r="4" spans="1:11">
      <c r="A4" s="68"/>
      <c r="K4" s="71"/>
    </row>
    <row r="5" spans="1:11" ht="18">
      <c r="A5" s="68"/>
      <c r="B5" s="72" t="s">
        <v>81</v>
      </c>
      <c r="D5" s="52"/>
      <c r="K5" s="71"/>
    </row>
    <row r="6" spans="1:11" ht="16.05" customHeight="1">
      <c r="A6" s="68"/>
      <c r="B6" s="102" t="s">
        <v>92</v>
      </c>
      <c r="D6" s="52"/>
      <c r="K6" s="71"/>
    </row>
    <row r="7" spans="1:11" ht="16.05" customHeight="1">
      <c r="A7" s="68"/>
      <c r="B7" s="102" t="s">
        <v>93</v>
      </c>
      <c r="D7" s="52"/>
      <c r="K7" s="71"/>
    </row>
    <row r="8" spans="1:11" ht="16.05" customHeight="1">
      <c r="A8" s="68"/>
      <c r="B8" s="102" t="s">
        <v>98</v>
      </c>
      <c r="D8" s="52"/>
      <c r="K8" s="71"/>
    </row>
    <row r="9" spans="1:11" ht="16.05" customHeight="1">
      <c r="A9" s="68"/>
      <c r="B9" s="102" t="s">
        <v>100</v>
      </c>
      <c r="D9" s="52"/>
      <c r="K9" s="71"/>
    </row>
    <row r="10" spans="1:11" ht="16.05" customHeight="1">
      <c r="A10" s="68"/>
      <c r="B10" s="119" t="s">
        <v>101</v>
      </c>
      <c r="D10" s="52"/>
      <c r="K10" s="71"/>
    </row>
    <row r="11" spans="1:11" ht="16.05" customHeight="1">
      <c r="A11" s="68"/>
      <c r="B11" s="102" t="s">
        <v>94</v>
      </c>
      <c r="D11" s="52"/>
      <c r="K11" s="71"/>
    </row>
    <row r="12" spans="1:11" ht="16.05" customHeight="1">
      <c r="A12" s="68"/>
      <c r="B12" s="80" t="s">
        <v>102</v>
      </c>
      <c r="D12" s="52"/>
      <c r="K12" s="71"/>
    </row>
    <row r="13" spans="1:11" ht="16.05" customHeight="1">
      <c r="A13" s="68"/>
      <c r="B13" s="118" t="s">
        <v>103</v>
      </c>
      <c r="D13" s="52"/>
      <c r="K13" s="71"/>
    </row>
    <row r="14" spans="1:11" ht="16.05" customHeight="1">
      <c r="A14" s="68"/>
      <c r="B14" s="80"/>
      <c r="D14" s="52"/>
      <c r="K14" s="71"/>
    </row>
    <row r="15" spans="1:11" ht="16.05" customHeight="1">
      <c r="A15" s="68"/>
      <c r="B15" s="72" t="s">
        <v>91</v>
      </c>
      <c r="D15" s="52"/>
      <c r="K15" s="71"/>
    </row>
    <row r="16" spans="1:11" ht="16.05" customHeight="1">
      <c r="A16" s="68"/>
      <c r="B16" s="80"/>
      <c r="D16" s="52"/>
      <c r="K16" s="71"/>
    </row>
    <row r="17" spans="1:11">
      <c r="A17" s="68"/>
      <c r="B17" s="42" t="s">
        <v>21</v>
      </c>
      <c r="C17" s="62">
        <v>2025</v>
      </c>
      <c r="D17" s="46" t="s">
        <v>70</v>
      </c>
      <c r="K17" s="71"/>
    </row>
    <row r="18" spans="1:11">
      <c r="A18" s="68"/>
      <c r="B18" s="42" t="s">
        <v>20</v>
      </c>
      <c r="C18" s="62"/>
      <c r="D18" s="101" t="s">
        <v>88</v>
      </c>
      <c r="K18" s="71"/>
    </row>
    <row r="19" spans="1:11">
      <c r="A19" s="68"/>
      <c r="B19" s="42"/>
      <c r="C19" s="62"/>
      <c r="D19" s="101" t="s">
        <v>89</v>
      </c>
      <c r="K19" s="71"/>
    </row>
    <row r="20" spans="1:11">
      <c r="A20" s="68"/>
      <c r="B20" s="42"/>
      <c r="K20" s="71"/>
    </row>
    <row r="21" spans="1:11">
      <c r="A21" s="68"/>
      <c r="B21" s="42"/>
      <c r="K21" s="71"/>
    </row>
    <row r="22" spans="1:11" ht="18">
      <c r="A22" s="68"/>
      <c r="B22" s="72" t="s">
        <v>44</v>
      </c>
      <c r="K22" s="71"/>
    </row>
    <row r="23" spans="1:11" ht="16.05" customHeight="1">
      <c r="A23" s="68"/>
      <c r="B23" s="72"/>
      <c r="K23" s="71"/>
    </row>
    <row r="24" spans="1:11" ht="16.05" customHeight="1">
      <c r="A24" s="68"/>
      <c r="B24" s="52" t="s">
        <v>45</v>
      </c>
      <c r="C24" s="52"/>
      <c r="D24" s="52"/>
      <c r="E24" s="52"/>
      <c r="G24" s="52" t="s">
        <v>46</v>
      </c>
      <c r="H24" s="52"/>
      <c r="I24" s="52"/>
      <c r="J24" s="52"/>
      <c r="K24" s="71"/>
    </row>
    <row r="25" spans="1:11">
      <c r="A25" s="68"/>
      <c r="B25" s="100" t="s">
        <v>20</v>
      </c>
      <c r="C25" s="82">
        <f>C18</f>
        <v>0</v>
      </c>
      <c r="D25" s="82">
        <f>C19</f>
        <v>0</v>
      </c>
      <c r="G25" s="42" t="s">
        <v>20</v>
      </c>
      <c r="H25" s="82" t="s">
        <v>16</v>
      </c>
      <c r="I25" s="82" t="s">
        <v>19</v>
      </c>
      <c r="K25" s="71"/>
    </row>
    <row r="26" spans="1:11">
      <c r="A26" s="68"/>
      <c r="B26" s="100" t="s">
        <v>90</v>
      </c>
      <c r="C26" s="63"/>
      <c r="D26" s="63"/>
      <c r="E26" s="64">
        <f>C26+D26</f>
        <v>0</v>
      </c>
      <c r="G26" s="100" t="s">
        <v>90</v>
      </c>
      <c r="H26" s="64">
        <v>0.5</v>
      </c>
      <c r="I26" s="64">
        <v>0.5</v>
      </c>
      <c r="J26" s="64">
        <f>H26+I26</f>
        <v>1</v>
      </c>
      <c r="K26" s="71"/>
    </row>
    <row r="27" spans="1:11">
      <c r="A27" s="68"/>
      <c r="B27" s="100" t="s">
        <v>87</v>
      </c>
      <c r="C27" s="113"/>
      <c r="D27" s="114"/>
      <c r="E27" s="98"/>
      <c r="G27" s="100" t="s">
        <v>87</v>
      </c>
      <c r="H27" s="113">
        <v>160</v>
      </c>
      <c r="I27" s="114"/>
      <c r="J27" s="117" t="s">
        <v>76</v>
      </c>
      <c r="K27" s="71"/>
    </row>
    <row r="28" spans="1:11">
      <c r="A28" s="68"/>
      <c r="B28" s="100" t="s">
        <v>84</v>
      </c>
      <c r="C28" s="62"/>
      <c r="D28" s="62"/>
      <c r="G28" s="100" t="s">
        <v>84</v>
      </c>
      <c r="H28" s="95">
        <v>7</v>
      </c>
      <c r="I28" s="95">
        <v>5</v>
      </c>
      <c r="K28" s="71"/>
    </row>
    <row r="29" spans="1:11">
      <c r="A29" s="68"/>
      <c r="B29" s="100" t="s">
        <v>39</v>
      </c>
      <c r="C29" s="109"/>
      <c r="D29" s="110"/>
      <c r="G29" s="42" t="s">
        <v>39</v>
      </c>
      <c r="H29" s="111">
        <v>7.19</v>
      </c>
      <c r="I29" s="112"/>
      <c r="K29" s="71"/>
    </row>
    <row r="30" spans="1:11">
      <c r="A30" s="68"/>
      <c r="B30" s="42"/>
      <c r="D30" s="47"/>
      <c r="K30" s="71"/>
    </row>
    <row r="31" spans="1:11" ht="16.05" customHeight="1">
      <c r="A31" s="68"/>
      <c r="B31" s="73"/>
      <c r="K31" s="71"/>
    </row>
    <row r="32" spans="1:11" ht="18">
      <c r="A32" s="68"/>
      <c r="B32" s="72" t="s">
        <v>50</v>
      </c>
      <c r="K32" s="71"/>
    </row>
    <row r="33" spans="1:11" ht="16.05" customHeight="1">
      <c r="A33" s="68"/>
      <c r="B33" s="72"/>
      <c r="K33" s="71"/>
    </row>
    <row r="34" spans="1:11" ht="16.05" customHeight="1">
      <c r="A34" s="68"/>
      <c r="B34" s="52" t="s">
        <v>45</v>
      </c>
      <c r="G34" s="52" t="s">
        <v>46</v>
      </c>
      <c r="K34" s="71"/>
    </row>
    <row r="35" spans="1:11" ht="16.05" customHeight="1">
      <c r="A35" s="68"/>
      <c r="B35" s="42" t="s">
        <v>48</v>
      </c>
      <c r="C35" s="91">
        <v>6161</v>
      </c>
      <c r="D35" s="57" t="s">
        <v>69</v>
      </c>
      <c r="G35" s="42" t="s">
        <v>48</v>
      </c>
      <c r="H35" s="65">
        <f>H36+H37</f>
        <v>6161.4333333333334</v>
      </c>
      <c r="I35" s="57" t="s">
        <v>69</v>
      </c>
      <c r="K35" s="71"/>
    </row>
    <row r="36" spans="1:11" ht="16.05" customHeight="1">
      <c r="A36" s="68"/>
      <c r="B36" s="56" t="s">
        <v>49</v>
      </c>
      <c r="C36" s="91"/>
      <c r="D36" s="46" t="s">
        <v>61</v>
      </c>
      <c r="G36" s="56" t="s">
        <v>49</v>
      </c>
      <c r="H36" s="65">
        <f>IF($H$27=160,'Retrofit Costs'!F12,IF($H$27=40,'Retrofit Costs'!F28,0))</f>
        <v>5521.4333333333334</v>
      </c>
      <c r="K36" s="71"/>
    </row>
    <row r="37" spans="1:11" ht="16.05" customHeight="1">
      <c r="A37" s="68"/>
      <c r="B37" s="56" t="s">
        <v>82</v>
      </c>
      <c r="C37" s="91"/>
      <c r="D37" s="46" t="s">
        <v>61</v>
      </c>
      <c r="G37" s="56" t="s">
        <v>82</v>
      </c>
      <c r="H37" s="65">
        <f>IF($H$27=160,'Retrofit Costs'!C16,IF($H$27=40,'Retrofit Costs'!C32,0))</f>
        <v>640</v>
      </c>
      <c r="K37" s="71"/>
    </row>
    <row r="38" spans="1:11" ht="16.05" customHeight="1">
      <c r="A38" s="68"/>
      <c r="B38" s="42" t="s">
        <v>47</v>
      </c>
      <c r="C38" s="62"/>
      <c r="G38" s="42" t="s">
        <v>47</v>
      </c>
      <c r="H38" s="44">
        <v>8</v>
      </c>
      <c r="K38" s="71"/>
    </row>
    <row r="39" spans="1:11" ht="16.05" customHeight="1">
      <c r="A39" s="68"/>
      <c r="B39" s="42" t="s">
        <v>85</v>
      </c>
      <c r="C39" s="79"/>
      <c r="G39" s="42" t="s">
        <v>85</v>
      </c>
      <c r="H39" s="81">
        <v>0.05</v>
      </c>
      <c r="K39" s="71"/>
    </row>
    <row r="40" spans="1:11" ht="16.05" customHeight="1">
      <c r="A40" s="68"/>
      <c r="B40" s="42"/>
      <c r="G40" s="42"/>
      <c r="K40" s="71"/>
    </row>
    <row r="41" spans="1:11" ht="16.05" customHeight="1">
      <c r="A41" s="68"/>
      <c r="B41" s="42" t="s">
        <v>27</v>
      </c>
      <c r="C41" s="62"/>
      <c r="D41" s="46" t="s">
        <v>40</v>
      </c>
      <c r="G41" s="42" t="s">
        <v>27</v>
      </c>
      <c r="H41" s="44">
        <v>1.25</v>
      </c>
      <c r="I41" s="46" t="s">
        <v>83</v>
      </c>
      <c r="K41" s="71"/>
    </row>
    <row r="42" spans="1:11" ht="16.05" customHeight="1">
      <c r="A42" s="68"/>
      <c r="B42" s="42" t="s">
        <v>28</v>
      </c>
      <c r="C42" s="62"/>
      <c r="D42" s="46" t="s">
        <v>41</v>
      </c>
      <c r="G42" s="42" t="s">
        <v>28</v>
      </c>
      <c r="H42" s="44">
        <v>1</v>
      </c>
      <c r="K42" s="71"/>
    </row>
    <row r="43" spans="1:11" ht="16.05" customHeight="1">
      <c r="A43" s="68"/>
      <c r="B43" s="42" t="s">
        <v>86</v>
      </c>
      <c r="C43" s="63"/>
      <c r="D43" s="101" t="s">
        <v>96</v>
      </c>
      <c r="G43" s="42" t="s">
        <v>86</v>
      </c>
      <c r="H43" s="64">
        <f>H41-H42</f>
        <v>0.25</v>
      </c>
      <c r="K43" s="71"/>
    </row>
    <row r="44" spans="1:11" ht="16.05" customHeight="1">
      <c r="A44" s="68"/>
      <c r="C44" s="46"/>
      <c r="D44" s="101" t="s">
        <v>97</v>
      </c>
      <c r="K44" s="71"/>
    </row>
    <row r="45" spans="1:11" ht="16.05" customHeight="1">
      <c r="A45" s="68"/>
      <c r="B45" s="72"/>
      <c r="D45" s="101" t="s">
        <v>95</v>
      </c>
      <c r="K45" s="71"/>
    </row>
    <row r="46" spans="1:11" ht="16.05" customHeight="1">
      <c r="A46" s="68"/>
      <c r="B46" s="72"/>
      <c r="D46" s="99"/>
      <c r="K46" s="71"/>
    </row>
    <row r="47" spans="1:11" ht="16.05" customHeight="1">
      <c r="A47" s="68"/>
      <c r="B47" s="72" t="s">
        <v>62</v>
      </c>
      <c r="K47" s="71"/>
    </row>
    <row r="48" spans="1:11">
      <c r="A48" s="68"/>
      <c r="B48" s="42"/>
      <c r="E48" s="58"/>
      <c r="K48" s="71"/>
    </row>
    <row r="49" spans="1:11">
      <c r="A49" s="68"/>
      <c r="B49" s="52" t="s">
        <v>63</v>
      </c>
      <c r="C49" s="108"/>
      <c r="D49" s="108"/>
      <c r="E49" s="108"/>
      <c r="G49" s="52" t="s">
        <v>46</v>
      </c>
      <c r="K49" s="71"/>
    </row>
    <row r="50" spans="1:11">
      <c r="A50" s="68"/>
      <c r="B50" s="42" t="s">
        <v>68</v>
      </c>
      <c r="C50" s="106" t="e">
        <f>('Cash Flow'!G35+'Cash Flow'!H35)/'Retrofit Calculator'!$C$38*27154</f>
        <v>#DIV/0!</v>
      </c>
      <c r="D50" s="106"/>
      <c r="G50" s="42" t="s">
        <v>68</v>
      </c>
      <c r="H50" s="120">
        <f>('Cash Flow'!G16+'Cash Flow'!H16)/'Retrofit Calculator'!$H$38*27154</f>
        <v>3665790</v>
      </c>
      <c r="I50" s="121"/>
      <c r="K50" s="71"/>
    </row>
    <row r="51" spans="1:11">
      <c r="A51" s="68"/>
      <c r="B51" s="42" t="s">
        <v>66</v>
      </c>
      <c r="C51" s="105" t="e">
        <f>SUM('Cash Flow'!E24:E33)/'Retrofit Calculator'!C38</f>
        <v>#DIV/0!</v>
      </c>
      <c r="D51" s="105"/>
      <c r="G51" s="42" t="s">
        <v>66</v>
      </c>
      <c r="H51" s="105">
        <f>SUM('Cash Flow'!E5:E14)/'Retrofit Calculator'!H38</f>
        <v>870.14814545336105</v>
      </c>
      <c r="I51" s="105"/>
      <c r="K51" s="71"/>
    </row>
    <row r="52" spans="1:11">
      <c r="A52" s="68"/>
      <c r="B52" s="42" t="s">
        <v>26</v>
      </c>
      <c r="C52" s="104" t="e">
        <f>'Cash Flow'!$E$35</f>
        <v>#DIV/0!</v>
      </c>
      <c r="D52" s="104"/>
      <c r="G52" s="42" t="s">
        <v>26</v>
      </c>
      <c r="H52" s="104">
        <f>'Cash Flow'!$E$16</f>
        <v>799.75183029355526</v>
      </c>
      <c r="I52" s="104"/>
      <c r="K52" s="71"/>
    </row>
    <row r="53" spans="1:11">
      <c r="A53" s="68"/>
      <c r="B53" s="42" t="s">
        <v>34</v>
      </c>
      <c r="C53" s="103" t="e">
        <f>'Cash Flow'!D40</f>
        <v>#DIV/0!</v>
      </c>
      <c r="D53" s="103"/>
      <c r="G53" s="42" t="s">
        <v>34</v>
      </c>
      <c r="H53" s="103">
        <f>'Cash Flow'!$D$21</f>
        <v>5.3599055567628664</v>
      </c>
      <c r="I53" s="103"/>
      <c r="K53" s="71"/>
    </row>
    <row r="54" spans="1:11">
      <c r="A54" s="68"/>
      <c r="B54" s="42"/>
      <c r="K54" s="71"/>
    </row>
    <row r="55" spans="1:11">
      <c r="A55" s="68"/>
      <c r="B55" s="42"/>
      <c r="K55" s="71"/>
    </row>
    <row r="56" spans="1:11" ht="16.149999999999999" thickBot="1">
      <c r="A56" s="74"/>
      <c r="B56" s="75"/>
      <c r="C56" s="76"/>
      <c r="D56" s="77"/>
      <c r="E56" s="77"/>
      <c r="F56" s="77"/>
      <c r="G56" s="77"/>
      <c r="H56" s="77"/>
      <c r="I56" s="77"/>
      <c r="J56" s="77"/>
      <c r="K56" s="78"/>
    </row>
    <row r="57" spans="1:11">
      <c r="B57" s="42"/>
    </row>
    <row r="58" spans="1:11">
      <c r="B58" s="83" t="s">
        <v>29</v>
      </c>
      <c r="C58" s="92"/>
      <c r="D58" s="83"/>
      <c r="E58" s="83"/>
      <c r="F58" s="83"/>
      <c r="G58" s="83"/>
      <c r="H58" s="83"/>
      <c r="I58" s="83"/>
      <c r="J58" s="83"/>
    </row>
    <row r="59" spans="1:11">
      <c r="B59" s="83" t="s">
        <v>72</v>
      </c>
      <c r="C59" s="92"/>
      <c r="D59" s="83"/>
      <c r="E59" s="93" t="s">
        <v>71</v>
      </c>
      <c r="F59" s="83"/>
      <c r="G59" s="83"/>
      <c r="H59" s="83"/>
      <c r="I59" s="83"/>
      <c r="J59" s="83"/>
    </row>
  </sheetData>
  <mergeCells count="14">
    <mergeCell ref="B2:J2"/>
    <mergeCell ref="C49:E49"/>
    <mergeCell ref="C29:D29"/>
    <mergeCell ref="H29:I29"/>
    <mergeCell ref="C27:D27"/>
    <mergeCell ref="H27:I27"/>
    <mergeCell ref="C53:D53"/>
    <mergeCell ref="C52:D52"/>
    <mergeCell ref="C51:D51"/>
    <mergeCell ref="C50:D50"/>
    <mergeCell ref="H53:I53"/>
    <mergeCell ref="H52:I52"/>
    <mergeCell ref="H51:I51"/>
    <mergeCell ref="H50:I50"/>
  </mergeCells>
  <hyperlinks>
    <hyperlink ref="E59" r:id="rId1" location=":~:text=Across%20all%20irrigation%20systems%20in,information%20about%20the%20local%20conditions " xr:uid="{530F8F19-5159-274D-B56B-253C2AA1FD04}"/>
  </hyperlinks>
  <pageMargins left="0.7" right="0.7" top="0.75" bottom="0.75" header="0.3" footer="0.3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B6BE9A-AB0C-1F4F-9D61-769C64CCB0A0}">
          <x14:formula1>
            <xm:f>'Retrofit Costs'!$B$2:$B$3</xm:f>
          </x14:formula1>
          <xm:sqref>H27:I27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1EB4-81FE-2044-B65B-00C5A07B1C55}">
  <dimension ref="B1:J96"/>
  <sheetViews>
    <sheetView zoomScale="150" zoomScaleNormal="150" zoomScaleSheetLayoutView="150" workbookViewId="0">
      <selection activeCell="G20" sqref="G20"/>
    </sheetView>
  </sheetViews>
  <sheetFormatPr defaultColWidth="8.796875" defaultRowHeight="14.25"/>
  <cols>
    <col min="1" max="1" width="3" style="13" customWidth="1"/>
    <col min="2" max="2" width="16.46484375" style="13" customWidth="1"/>
    <col min="3" max="3" width="10.6640625" style="13" customWidth="1"/>
    <col min="4" max="4" width="14" style="13" customWidth="1"/>
    <col min="5" max="5" width="14" style="15" customWidth="1"/>
    <col min="6" max="6" width="2.1328125" style="13" customWidth="1"/>
    <col min="7" max="8" width="14.1328125" style="13" customWidth="1"/>
    <col min="9" max="9" width="19.6640625" style="13" customWidth="1"/>
    <col min="10" max="10" width="6.1328125" style="13" bestFit="1" customWidth="1"/>
    <col min="11" max="11" width="5" style="13" customWidth="1"/>
    <col min="12" max="14" width="10.6640625" style="13" customWidth="1"/>
    <col min="15" max="16384" width="8.796875" style="13"/>
  </cols>
  <sheetData>
    <row r="1" spans="2:10">
      <c r="C1" s="14" t="s">
        <v>6</v>
      </c>
    </row>
    <row r="2" spans="2:10">
      <c r="C2" s="14"/>
    </row>
    <row r="3" spans="2:10">
      <c r="B3" s="16" t="s">
        <v>45</v>
      </c>
      <c r="C3" s="14"/>
    </row>
    <row r="4" spans="2:10">
      <c r="D4" s="115" t="s">
        <v>17</v>
      </c>
      <c r="E4" s="115"/>
      <c r="G4" s="115" t="s">
        <v>18</v>
      </c>
      <c r="H4" s="115"/>
    </row>
    <row r="5" spans="2:10">
      <c r="C5" s="12" t="s">
        <v>5</v>
      </c>
      <c r="D5" s="17" t="s">
        <v>16</v>
      </c>
      <c r="E5" s="17" t="s">
        <v>19</v>
      </c>
      <c r="F5" s="18"/>
      <c r="G5" s="17" t="s">
        <v>16</v>
      </c>
      <c r="H5" s="17" t="s">
        <v>19</v>
      </c>
      <c r="I5" s="19"/>
    </row>
    <row r="6" spans="2:10">
      <c r="C6" s="12" t="s">
        <v>0</v>
      </c>
      <c r="D6" s="20">
        <f>'Retrofit Calculator'!$C$26</f>
        <v>0</v>
      </c>
      <c r="E6" s="20">
        <f>'Retrofit Calculator'!$D$26</f>
        <v>0</v>
      </c>
      <c r="F6" s="21"/>
      <c r="G6" s="20">
        <f>'Retrofit Calculator'!$C$26</f>
        <v>0</v>
      </c>
      <c r="H6" s="20">
        <f>'Retrofit Calculator'!$D$26</f>
        <v>0</v>
      </c>
      <c r="I6" s="20"/>
    </row>
    <row r="7" spans="2:10">
      <c r="B7" s="45"/>
      <c r="C7" s="12" t="s">
        <v>30</v>
      </c>
      <c r="D7" s="26">
        <f>'Retrofit Calculator'!$C$29</f>
        <v>0</v>
      </c>
      <c r="E7" s="26">
        <f>'Retrofit Calculator'!$C$29</f>
        <v>0</v>
      </c>
      <c r="F7" s="23"/>
      <c r="G7" s="26">
        <f>'Retrofit Calculator'!$C$29</f>
        <v>0</v>
      </c>
      <c r="H7" s="26">
        <f>'Retrofit Calculator'!$C$29</f>
        <v>0</v>
      </c>
      <c r="I7" s="26"/>
      <c r="J7" s="26"/>
    </row>
    <row r="8" spans="2:10">
      <c r="B8" s="45"/>
      <c r="C8" s="12" t="s">
        <v>31</v>
      </c>
      <c r="D8" s="26">
        <f>'Retrofit Calculator'!$C$28</f>
        <v>0</v>
      </c>
      <c r="E8" s="26">
        <f>'Retrofit Calculator'!$D$28</f>
        <v>0</v>
      </c>
      <c r="F8" s="23"/>
      <c r="G8" s="26">
        <f>D8*(1-'Retrofit Calculator'!$C$43)</f>
        <v>0</v>
      </c>
      <c r="H8" s="26">
        <f>E8*(1-'Retrofit Calculator'!$C$43)</f>
        <v>0</v>
      </c>
      <c r="I8" s="26"/>
      <c r="J8" s="26"/>
    </row>
    <row r="9" spans="2:10">
      <c r="E9" s="13"/>
      <c r="G9" s="12"/>
      <c r="H9" s="24"/>
    </row>
    <row r="10" spans="2:10">
      <c r="C10" s="39" t="s">
        <v>35</v>
      </c>
      <c r="D10" s="23">
        <v>0</v>
      </c>
      <c r="E10" s="23"/>
      <c r="F10" s="23"/>
      <c r="G10" s="23"/>
      <c r="H10" s="23"/>
      <c r="I10" s="23"/>
    </row>
    <row r="11" spans="2:10">
      <c r="C11" s="39" t="s">
        <v>36</v>
      </c>
      <c r="D11" s="23">
        <f>G7*G8*G6+H7*H8*H6-D7*D8*D6-E7*E8*E6</f>
        <v>0</v>
      </c>
      <c r="E11" s="23"/>
      <c r="F11" s="23"/>
      <c r="G11" s="23"/>
      <c r="H11" s="23"/>
      <c r="I11" s="23"/>
    </row>
    <row r="12" spans="2:10">
      <c r="C12" s="39" t="s">
        <v>37</v>
      </c>
      <c r="D12" s="23">
        <f>D10-D11</f>
        <v>0</v>
      </c>
      <c r="E12" s="23"/>
      <c r="F12" s="23"/>
      <c r="G12" s="23"/>
      <c r="H12" s="23"/>
      <c r="I12" s="23"/>
    </row>
    <row r="13" spans="2:10">
      <c r="D13" s="23"/>
      <c r="E13" s="23"/>
      <c r="F13" s="23"/>
      <c r="G13" s="23"/>
      <c r="H13" s="23"/>
      <c r="I13" s="23"/>
    </row>
    <row r="14" spans="2:10">
      <c r="C14" s="25"/>
      <c r="D14" s="23"/>
      <c r="E14" s="28"/>
      <c r="F14" s="23"/>
      <c r="G14" s="23"/>
      <c r="H14" s="28"/>
      <c r="I14" s="28"/>
    </row>
    <row r="15" spans="2:10">
      <c r="B15" s="16" t="s">
        <v>65</v>
      </c>
      <c r="D15" s="23"/>
      <c r="E15" s="28"/>
      <c r="F15" s="23"/>
      <c r="G15" s="23"/>
      <c r="H15" s="28"/>
      <c r="I15" s="28"/>
    </row>
    <row r="16" spans="2:10">
      <c r="D16" s="115" t="s">
        <v>17</v>
      </c>
      <c r="E16" s="115"/>
      <c r="G16" s="115" t="s">
        <v>18</v>
      </c>
      <c r="H16" s="115"/>
      <c r="I16" s="28"/>
    </row>
    <row r="17" spans="2:9">
      <c r="C17" s="12" t="s">
        <v>5</v>
      </c>
      <c r="D17" s="17" t="s">
        <v>16</v>
      </c>
      <c r="E17" s="17" t="s">
        <v>19</v>
      </c>
      <c r="F17" s="18"/>
      <c r="G17" s="17" t="s">
        <v>16</v>
      </c>
      <c r="H17" s="17" t="s">
        <v>19</v>
      </c>
      <c r="I17" s="28"/>
    </row>
    <row r="18" spans="2:9">
      <c r="C18" s="12" t="s">
        <v>0</v>
      </c>
      <c r="D18" s="20">
        <f>'Retrofit Calculator'!$H$26</f>
        <v>0.5</v>
      </c>
      <c r="E18" s="20">
        <f>'Retrofit Calculator'!$I$26</f>
        <v>0.5</v>
      </c>
      <c r="F18" s="21"/>
      <c r="G18" s="20">
        <f>'Retrofit Calculator'!$H$26</f>
        <v>0.5</v>
      </c>
      <c r="H18" s="20">
        <f>'Retrofit Calculator'!$I$26</f>
        <v>0.5</v>
      </c>
      <c r="I18" s="28"/>
    </row>
    <row r="19" spans="2:9">
      <c r="B19" s="45"/>
      <c r="C19" s="12" t="s">
        <v>30</v>
      </c>
      <c r="D19" s="26">
        <f>'Retrofit Calculator'!$H$29</f>
        <v>7.19</v>
      </c>
      <c r="E19" s="26">
        <f>'Retrofit Calculator'!$H$29</f>
        <v>7.19</v>
      </c>
      <c r="F19" s="23"/>
      <c r="G19" s="26">
        <f>'Retrofit Calculator'!$H$29</f>
        <v>7.19</v>
      </c>
      <c r="H19" s="26">
        <f>'Retrofit Calculator'!$H$29</f>
        <v>7.19</v>
      </c>
      <c r="I19" s="28"/>
    </row>
    <row r="20" spans="2:9">
      <c r="B20" s="45"/>
      <c r="C20" s="12" t="s">
        <v>38</v>
      </c>
      <c r="D20" s="26">
        <f>'Retrofit Calculator'!H28</f>
        <v>7</v>
      </c>
      <c r="E20" s="26">
        <f>'Retrofit Calculator'!I28</f>
        <v>5</v>
      </c>
      <c r="F20" s="23"/>
      <c r="G20" s="26">
        <f>D20*(1-'Retrofit Calculator'!$H$43)</f>
        <v>5.25</v>
      </c>
      <c r="H20" s="26">
        <f>E20*(1-'Retrofit Calculator'!$H$43)</f>
        <v>3.75</v>
      </c>
      <c r="I20" s="28"/>
    </row>
    <row r="21" spans="2:9">
      <c r="E21" s="13"/>
      <c r="G21" s="12"/>
      <c r="H21" s="24"/>
      <c r="I21" s="23"/>
    </row>
    <row r="22" spans="2:9">
      <c r="C22" s="39" t="s">
        <v>35</v>
      </c>
      <c r="D22" s="23">
        <v>0</v>
      </c>
      <c r="E22" s="23"/>
      <c r="F22" s="23"/>
      <c r="G22" s="23"/>
      <c r="H22" s="23"/>
      <c r="I22" s="23"/>
    </row>
    <row r="23" spans="2:9">
      <c r="C23" s="39" t="s">
        <v>36</v>
      </c>
      <c r="D23" s="23">
        <f>G19*G20*G18+H19*H20*H18-D19*D20*D18-E19*E20*E18</f>
        <v>-10.785</v>
      </c>
      <c r="E23" s="23"/>
      <c r="F23" s="23"/>
      <c r="G23" s="23"/>
      <c r="H23" s="23"/>
      <c r="I23" s="31"/>
    </row>
    <row r="24" spans="2:9">
      <c r="C24" s="39" t="s">
        <v>37</v>
      </c>
      <c r="D24" s="23">
        <f>D22-D23</f>
        <v>10.785</v>
      </c>
      <c r="E24" s="23"/>
      <c r="F24" s="23"/>
      <c r="G24" s="23"/>
      <c r="H24" s="23"/>
      <c r="I24" s="31"/>
    </row>
    <row r="25" spans="2:9">
      <c r="D25" s="23"/>
      <c r="E25" s="23"/>
      <c r="F25" s="23"/>
      <c r="G25" s="23"/>
      <c r="H25" s="23"/>
      <c r="I25" s="23"/>
    </row>
    <row r="26" spans="2:9">
      <c r="B26" s="16"/>
      <c r="D26" s="30"/>
      <c r="E26" s="30"/>
      <c r="F26" s="30"/>
      <c r="G26" s="30"/>
      <c r="H26" s="30"/>
      <c r="I26" s="30"/>
    </row>
    <row r="27" spans="2:9">
      <c r="F27" s="21"/>
      <c r="H27" s="15"/>
      <c r="I27" s="23"/>
    </row>
    <row r="28" spans="2:9">
      <c r="D28" s="23"/>
      <c r="E28" s="23"/>
      <c r="F28" s="21"/>
      <c r="G28" s="23"/>
      <c r="H28" s="23"/>
      <c r="I28" s="21"/>
    </row>
    <row r="29" spans="2:9">
      <c r="D29" s="23"/>
      <c r="E29" s="23"/>
      <c r="F29" s="21"/>
      <c r="G29" s="23"/>
      <c r="H29" s="23"/>
      <c r="I29" s="21"/>
    </row>
    <row r="30" spans="2:9">
      <c r="D30" s="21"/>
      <c r="E30" s="21"/>
      <c r="F30" s="27"/>
      <c r="G30" s="21"/>
      <c r="H30" s="21"/>
      <c r="I30" s="27"/>
    </row>
    <row r="31" spans="2:9">
      <c r="D31" s="21"/>
      <c r="E31" s="21"/>
      <c r="F31" s="23"/>
      <c r="G31" s="21"/>
      <c r="H31" s="21"/>
      <c r="I31" s="23"/>
    </row>
    <row r="32" spans="2:9">
      <c r="D32" s="21"/>
      <c r="E32" s="21"/>
      <c r="F32" s="32"/>
      <c r="G32" s="21"/>
      <c r="H32" s="21"/>
      <c r="I32" s="26"/>
    </row>
    <row r="33" spans="2:9">
      <c r="D33" s="23"/>
      <c r="E33" s="23"/>
      <c r="F33" s="21"/>
      <c r="G33" s="23"/>
      <c r="H33" s="23"/>
      <c r="I33" s="21"/>
    </row>
    <row r="34" spans="2:9">
      <c r="B34" s="16"/>
      <c r="C34" s="29"/>
      <c r="D34" s="33"/>
      <c r="E34" s="33"/>
      <c r="F34" s="23"/>
      <c r="G34" s="33"/>
      <c r="H34" s="33"/>
      <c r="I34" s="28"/>
    </row>
    <row r="35" spans="2:9">
      <c r="F35" s="23"/>
      <c r="H35" s="15"/>
      <c r="I35" s="28"/>
    </row>
    <row r="36" spans="2:9">
      <c r="C36" s="27"/>
      <c r="D36" s="23"/>
      <c r="E36" s="23"/>
      <c r="F36" s="23"/>
      <c r="G36" s="23"/>
      <c r="H36" s="23"/>
      <c r="I36" s="28"/>
    </row>
    <row r="37" spans="2:9">
      <c r="D37" s="23"/>
      <c r="E37" s="23"/>
      <c r="F37" s="23"/>
      <c r="G37" s="23"/>
      <c r="H37" s="23"/>
      <c r="I37" s="28"/>
    </row>
    <row r="38" spans="2:9">
      <c r="C38" s="28"/>
      <c r="D38" s="23"/>
      <c r="E38" s="23"/>
      <c r="F38" s="23"/>
      <c r="G38" s="23"/>
      <c r="H38" s="23"/>
      <c r="I38" s="23"/>
    </row>
    <row r="39" spans="2:9">
      <c r="D39" s="23"/>
      <c r="E39" s="23"/>
      <c r="F39" s="23"/>
      <c r="G39" s="23"/>
      <c r="H39" s="23"/>
      <c r="I39" s="28"/>
    </row>
    <row r="40" spans="2:9">
      <c r="C40" s="25"/>
      <c r="D40" s="23"/>
      <c r="E40" s="23"/>
      <c r="F40" s="23"/>
      <c r="G40" s="23"/>
      <c r="H40" s="23"/>
      <c r="I40" s="28"/>
    </row>
    <row r="41" spans="2:9">
      <c r="C41" s="25"/>
      <c r="D41" s="23"/>
      <c r="E41" s="23"/>
      <c r="F41" s="23"/>
      <c r="G41" s="23"/>
      <c r="H41" s="23"/>
      <c r="I41" s="28"/>
    </row>
    <row r="42" spans="2:9">
      <c r="C42" s="25"/>
      <c r="E42" s="23"/>
      <c r="F42" s="23"/>
      <c r="G42" s="23"/>
      <c r="H42" s="23"/>
      <c r="I42" s="28"/>
    </row>
    <row r="43" spans="2:9">
      <c r="C43" s="25"/>
      <c r="D43" s="23"/>
      <c r="E43" s="23"/>
      <c r="F43" s="23"/>
      <c r="G43" s="23"/>
      <c r="H43" s="23"/>
      <c r="I43" s="23"/>
    </row>
    <row r="44" spans="2:9">
      <c r="C44" s="25"/>
      <c r="D44" s="23"/>
      <c r="E44" s="23"/>
      <c r="F44" s="23"/>
      <c r="G44" s="23"/>
      <c r="H44" s="23"/>
      <c r="I44" s="23"/>
    </row>
    <row r="45" spans="2:9">
      <c r="C45" s="25"/>
      <c r="D45" s="23"/>
      <c r="E45" s="23"/>
      <c r="F45" s="23"/>
      <c r="G45" s="23"/>
      <c r="H45" s="23"/>
      <c r="I45" s="23"/>
    </row>
    <row r="46" spans="2:9">
      <c r="C46" s="28"/>
      <c r="D46" s="23"/>
      <c r="E46" s="23"/>
      <c r="F46" s="23"/>
      <c r="G46" s="23"/>
      <c r="H46" s="23"/>
      <c r="I46" s="31"/>
    </row>
    <row r="47" spans="2:9">
      <c r="C47" s="28"/>
      <c r="D47" s="23"/>
      <c r="E47" s="23"/>
      <c r="F47" s="23"/>
      <c r="G47" s="23"/>
      <c r="H47" s="23"/>
      <c r="I47" s="23"/>
    </row>
    <row r="48" spans="2:9">
      <c r="D48" s="23"/>
      <c r="E48" s="23"/>
      <c r="F48" s="31"/>
      <c r="G48" s="23"/>
      <c r="H48" s="23"/>
      <c r="I48" s="30"/>
    </row>
    <row r="49" spans="2:9">
      <c r="D49" s="23"/>
      <c r="E49" s="23"/>
      <c r="F49" s="23"/>
      <c r="G49" s="23"/>
      <c r="H49" s="23"/>
      <c r="I49" s="31"/>
    </row>
    <row r="50" spans="2:9">
      <c r="D50" s="23"/>
      <c r="E50" s="23"/>
      <c r="F50" s="23"/>
      <c r="G50" s="23"/>
      <c r="H50" s="23"/>
      <c r="I50" s="23"/>
    </row>
    <row r="51" spans="2:9">
      <c r="D51" s="30"/>
      <c r="E51" s="30"/>
      <c r="F51" s="30"/>
      <c r="G51" s="30"/>
      <c r="H51" s="30"/>
      <c r="I51" s="21"/>
    </row>
    <row r="52" spans="2:9">
      <c r="D52" s="23"/>
      <c r="E52" s="23"/>
      <c r="F52" s="21"/>
      <c r="G52" s="23"/>
      <c r="H52" s="23"/>
      <c r="I52" s="21"/>
    </row>
    <row r="53" spans="2:9">
      <c r="D53" s="27"/>
      <c r="E53" s="27"/>
      <c r="F53" s="27"/>
      <c r="G53" s="27"/>
      <c r="H53" s="27"/>
      <c r="I53" s="27"/>
    </row>
    <row r="54" spans="2:9">
      <c r="B54" s="34"/>
      <c r="D54" s="21"/>
      <c r="E54" s="21"/>
      <c r="F54" s="21"/>
      <c r="G54" s="21"/>
      <c r="H54" s="21"/>
      <c r="I54" s="23"/>
    </row>
    <row r="55" spans="2:9">
      <c r="D55" s="27"/>
      <c r="E55" s="27"/>
      <c r="F55" s="27"/>
      <c r="G55" s="27"/>
      <c r="H55" s="27"/>
      <c r="I55" s="26"/>
    </row>
    <row r="56" spans="2:9">
      <c r="D56" s="23"/>
      <c r="E56" s="23"/>
      <c r="F56" s="23"/>
      <c r="G56" s="23"/>
      <c r="H56" s="23"/>
      <c r="I56" s="21"/>
    </row>
    <row r="57" spans="2:9">
      <c r="C57" s="25"/>
      <c r="D57" s="26"/>
      <c r="E57" s="26"/>
      <c r="F57" s="32"/>
      <c r="G57" s="26"/>
      <c r="H57" s="26"/>
      <c r="I57" s="28"/>
    </row>
    <row r="58" spans="2:9">
      <c r="C58" s="27"/>
      <c r="D58" s="21"/>
      <c r="E58" s="21"/>
      <c r="F58" s="21"/>
      <c r="G58" s="21"/>
      <c r="H58" s="21"/>
      <c r="I58" s="28"/>
    </row>
    <row r="59" spans="2:9">
      <c r="C59" s="25"/>
      <c r="D59" s="23"/>
      <c r="E59" s="23"/>
      <c r="F59" s="23"/>
      <c r="G59" s="23"/>
      <c r="H59" s="23"/>
      <c r="I59" s="28"/>
    </row>
    <row r="60" spans="2:9">
      <c r="D60" s="23"/>
      <c r="E60" s="23"/>
      <c r="F60" s="23"/>
      <c r="G60" s="23"/>
      <c r="H60" s="23"/>
      <c r="I60" s="28"/>
    </row>
    <row r="61" spans="2:9">
      <c r="D61" s="23"/>
      <c r="E61" s="23"/>
      <c r="F61" s="23"/>
      <c r="G61" s="23"/>
      <c r="H61" s="23"/>
      <c r="I61" s="23"/>
    </row>
    <row r="62" spans="2:9">
      <c r="D62" s="23"/>
      <c r="E62" s="23"/>
      <c r="F62" s="23"/>
      <c r="G62" s="23"/>
      <c r="H62" s="23"/>
      <c r="I62" s="28"/>
    </row>
    <row r="63" spans="2:9">
      <c r="C63" s="28"/>
      <c r="D63" s="23"/>
      <c r="E63" s="23"/>
      <c r="F63" s="23"/>
      <c r="G63" s="23"/>
      <c r="H63" s="23"/>
      <c r="I63" s="28"/>
    </row>
    <row r="64" spans="2:9">
      <c r="D64" s="23"/>
      <c r="E64" s="23"/>
      <c r="F64" s="23"/>
      <c r="G64" s="23"/>
      <c r="H64" s="23"/>
      <c r="I64" s="28"/>
    </row>
    <row r="65" spans="3:9">
      <c r="C65" s="25"/>
      <c r="D65" s="23"/>
      <c r="E65" s="23"/>
      <c r="F65" s="23"/>
      <c r="G65" s="23"/>
      <c r="H65" s="23"/>
      <c r="I65" s="28"/>
    </row>
    <row r="66" spans="3:9">
      <c r="C66" s="25"/>
      <c r="D66" s="23"/>
      <c r="E66" s="23"/>
      <c r="F66" s="23"/>
      <c r="G66" s="23"/>
      <c r="H66" s="23"/>
      <c r="I66" s="23"/>
    </row>
    <row r="67" spans="3:9">
      <c r="C67" s="25"/>
      <c r="D67" s="23"/>
      <c r="E67" s="23"/>
      <c r="F67" s="23"/>
      <c r="G67" s="23"/>
      <c r="H67" s="23"/>
      <c r="I67" s="23"/>
    </row>
    <row r="68" spans="3:9">
      <c r="C68" s="25"/>
      <c r="D68" s="23"/>
      <c r="E68" s="23"/>
      <c r="F68" s="23"/>
      <c r="G68" s="23"/>
      <c r="H68" s="23"/>
      <c r="I68" s="31"/>
    </row>
    <row r="69" spans="3:9">
      <c r="C69" s="25"/>
      <c r="D69" s="23"/>
      <c r="E69" s="23"/>
      <c r="F69" s="23"/>
      <c r="G69" s="23"/>
      <c r="H69" s="23"/>
      <c r="I69" s="31"/>
    </row>
    <row r="70" spans="3:9">
      <c r="C70" s="25"/>
      <c r="D70" s="23"/>
      <c r="E70" s="23"/>
      <c r="F70" s="23"/>
      <c r="G70" s="23"/>
      <c r="H70" s="23"/>
      <c r="I70" s="23"/>
    </row>
    <row r="71" spans="3:9">
      <c r="C71" s="28"/>
      <c r="D71" s="23"/>
      <c r="E71" s="23"/>
      <c r="F71" s="23"/>
      <c r="G71" s="23"/>
      <c r="H71" s="23"/>
      <c r="I71" s="35"/>
    </row>
    <row r="72" spans="3:9">
      <c r="C72" s="28"/>
      <c r="D72" s="23"/>
      <c r="E72" s="23"/>
      <c r="F72" s="23"/>
      <c r="G72" s="23"/>
      <c r="H72" s="23"/>
      <c r="I72" s="23"/>
    </row>
    <row r="73" spans="3:9">
      <c r="D73" s="23"/>
      <c r="E73" s="23"/>
      <c r="F73" s="31"/>
      <c r="G73" s="23"/>
      <c r="H73" s="23"/>
      <c r="I73" s="21"/>
    </row>
    <row r="74" spans="3:9">
      <c r="D74" s="23"/>
      <c r="E74" s="23"/>
      <c r="F74" s="23"/>
      <c r="G74" s="23"/>
      <c r="H74" s="23"/>
      <c r="I74" s="31"/>
    </row>
    <row r="75" spans="3:9">
      <c r="D75" s="23"/>
      <c r="E75" s="23"/>
      <c r="F75" s="23"/>
      <c r="G75" s="23"/>
      <c r="H75" s="23"/>
      <c r="I75" s="21"/>
    </row>
    <row r="76" spans="3:9">
      <c r="D76" s="36"/>
      <c r="E76" s="36"/>
      <c r="F76" s="36"/>
      <c r="G76" s="36"/>
      <c r="H76" s="36"/>
      <c r="I76" s="22"/>
    </row>
    <row r="77" spans="3:9">
      <c r="D77" s="23"/>
      <c r="E77" s="23"/>
      <c r="F77" s="21"/>
      <c r="G77" s="23"/>
      <c r="H77" s="23"/>
      <c r="I77" s="23"/>
    </row>
    <row r="78" spans="3:9">
      <c r="D78" s="23"/>
      <c r="E78" s="23"/>
      <c r="F78" s="21"/>
      <c r="G78" s="23"/>
      <c r="H78" s="23"/>
      <c r="I78" s="23"/>
    </row>
    <row r="79" spans="3:9">
      <c r="D79" s="23"/>
      <c r="E79" s="23"/>
      <c r="F79" s="21"/>
      <c r="G79" s="23"/>
      <c r="H79" s="23"/>
      <c r="I79" s="23"/>
    </row>
    <row r="80" spans="3:9">
      <c r="D80" s="23"/>
      <c r="E80" s="23"/>
      <c r="F80" s="21"/>
      <c r="G80" s="23"/>
      <c r="H80" s="23"/>
      <c r="I80" s="23"/>
    </row>
    <row r="81" spans="2:9">
      <c r="D81" s="23"/>
      <c r="E81" s="23"/>
      <c r="F81" s="21"/>
      <c r="G81" s="23"/>
      <c r="H81" s="23"/>
      <c r="I81" s="23"/>
    </row>
    <row r="82" spans="2:9">
      <c r="D82" s="31"/>
      <c r="E82" s="31"/>
      <c r="F82" s="21"/>
      <c r="G82" s="31"/>
      <c r="H82" s="31"/>
      <c r="I82" s="31"/>
    </row>
    <row r="83" spans="2:9">
      <c r="C83" s="12"/>
      <c r="D83" s="23"/>
      <c r="E83" s="23"/>
      <c r="F83" s="21"/>
      <c r="G83" s="23"/>
      <c r="H83" s="23"/>
      <c r="I83" s="23"/>
    </row>
    <row r="84" spans="2:9">
      <c r="D84" s="21"/>
      <c r="E84" s="23"/>
      <c r="F84" s="21"/>
      <c r="G84" s="21"/>
      <c r="H84" s="23"/>
    </row>
    <row r="85" spans="2:9">
      <c r="D85" s="37"/>
      <c r="E85" s="23"/>
      <c r="F85" s="21"/>
      <c r="G85" s="37"/>
      <c r="H85" s="23"/>
    </row>
    <row r="88" spans="2:9">
      <c r="G88" s="27" t="s">
        <v>1</v>
      </c>
    </row>
    <row r="89" spans="2:9">
      <c r="G89" s="23">
        <f>H85-E85</f>
        <v>0</v>
      </c>
      <c r="H89" s="21" t="s">
        <v>7</v>
      </c>
    </row>
    <row r="90" spans="2:9">
      <c r="D90" s="21"/>
      <c r="G90" s="23" t="e">
        <f>G89/G85</f>
        <v>#DIV/0!</v>
      </c>
      <c r="H90" s="38" t="s">
        <v>9</v>
      </c>
      <c r="I90" s="21"/>
    </row>
    <row r="91" spans="2:9" ht="14.65" thickBot="1"/>
    <row r="92" spans="2:9" ht="14.65" thickBot="1">
      <c r="E92" s="13"/>
      <c r="G92" s="39" t="s">
        <v>11</v>
      </c>
      <c r="H92" s="40" t="e">
        <f>#REF!</f>
        <v>#REF!</v>
      </c>
    </row>
    <row r="93" spans="2:9">
      <c r="B93" s="38" t="s">
        <v>12</v>
      </c>
    </row>
    <row r="94" spans="2:9" ht="14.65" thickBot="1">
      <c r="B94" s="38" t="s">
        <v>8</v>
      </c>
    </row>
    <row r="95" spans="2:9" ht="14.65" thickBot="1">
      <c r="B95" s="38"/>
      <c r="G95" s="41" t="e">
        <f>#REF!</f>
        <v>#REF!</v>
      </c>
      <c r="H95" s="38" t="s">
        <v>13</v>
      </c>
    </row>
    <row r="96" spans="2:9" ht="14.65" thickBot="1">
      <c r="B96" s="38"/>
      <c r="G96" s="41" t="e">
        <f>#REF!</f>
        <v>#REF!</v>
      </c>
      <c r="H96" s="13" t="s">
        <v>14</v>
      </c>
    </row>
  </sheetData>
  <mergeCells count="4">
    <mergeCell ref="D4:E4"/>
    <mergeCell ref="G4:H4"/>
    <mergeCell ref="D16:E16"/>
    <mergeCell ref="G16:H16"/>
  </mergeCells>
  <conditionalFormatting sqref="H92 G95:G96">
    <cfRule type="cellIs" dxfId="1" priority="1" stopIfTrue="1" operator="greaterThan">
      <formula>0</formula>
    </cfRule>
    <cfRule type="cellIs" dxfId="0" priority="2" stopIfTrue="1" operator="lessThanOrEqual">
      <formula>0</formula>
    </cfRule>
  </conditionalFormatting>
  <pageMargins left="0.75" right="0.75" top="1" bottom="1" header="0.5" footer="0.5"/>
  <pageSetup scale="92" fitToHeight="4" orientation="portrait"/>
  <headerFooter alignWithMargins="0"/>
  <rowBreaks count="1" manualBreakCount="1">
    <brk id="5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2ADD-E72B-4843-8563-3297DD7DB385}">
  <dimension ref="A1:H40"/>
  <sheetViews>
    <sheetView topLeftCell="A14" zoomScale="160" workbookViewId="0">
      <selection activeCell="D21" sqref="D21"/>
    </sheetView>
  </sheetViews>
  <sheetFormatPr defaultColWidth="11.46484375" defaultRowHeight="12.75"/>
  <cols>
    <col min="3" max="3" width="18.6640625" customWidth="1"/>
    <col min="4" max="4" width="12.33203125" customWidth="1"/>
    <col min="7" max="7" width="10.6640625" customWidth="1"/>
  </cols>
  <sheetData>
    <row r="1" spans="1:8">
      <c r="A1" s="8" t="s">
        <v>21</v>
      </c>
      <c r="B1" s="8" t="s">
        <v>22</v>
      </c>
      <c r="C1" s="8" t="s">
        <v>24</v>
      </c>
      <c r="D1" s="8" t="s">
        <v>23</v>
      </c>
      <c r="E1" s="8" t="s">
        <v>25</v>
      </c>
      <c r="F1" s="8" t="s">
        <v>33</v>
      </c>
      <c r="G1" s="116" t="s">
        <v>67</v>
      </c>
      <c r="H1" s="116"/>
    </row>
    <row r="2" spans="1:8" ht="13.15">
      <c r="A2" s="9"/>
      <c r="B2" s="9"/>
      <c r="C2" s="43"/>
      <c r="D2" s="9"/>
      <c r="G2" s="8" t="s">
        <v>16</v>
      </c>
      <c r="H2" s="8" t="s">
        <v>19</v>
      </c>
    </row>
    <row r="3" spans="1:8" ht="13.15">
      <c r="A3" s="59" t="s">
        <v>42</v>
      </c>
      <c r="B3" s="9"/>
      <c r="C3" s="43"/>
      <c r="D3" s="9"/>
    </row>
    <row r="4" spans="1:8" ht="13.15">
      <c r="A4" s="60" t="s">
        <v>10</v>
      </c>
      <c r="B4" s="10">
        <f>'Retrofit Calculator'!H35</f>
        <v>6161.4333333333334</v>
      </c>
      <c r="C4" s="9"/>
      <c r="D4" s="6">
        <f>$C$4-$B$4</f>
        <v>-6161.4333333333334</v>
      </c>
      <c r="E4" s="6">
        <f>$C$4-$B$4</f>
        <v>-6161.4333333333334</v>
      </c>
      <c r="F4" s="51">
        <f>-B4</f>
        <v>-6161.4333333333334</v>
      </c>
    </row>
    <row r="5" spans="1:8">
      <c r="A5" s="2">
        <f>'Retrofit Calculator'!$C$17</f>
        <v>2025</v>
      </c>
      <c r="B5" s="6">
        <v>0</v>
      </c>
      <c r="C5" s="54">
        <f>IF($A5-'Retrofit Calculator'!$C$17&lt;'Retrofit Calculator'!$H$38,'Cost of Production'!$D$24,0)*('Retrofit Calculator'!$H$38-$A5+'Retrofit Calculator'!$C$17)/'Retrofit Calculator'!$H$38*'Retrofit Calculator'!$H$27</f>
        <v>1725.6</v>
      </c>
      <c r="D5" s="53">
        <f>IF($C$5&gt;0,C5,#REF!)</f>
        <v>1725.6</v>
      </c>
      <c r="E5" s="55">
        <f>D5/(1+'Retrofit Calculator'!$H$39)^(A5-'Retrofit Calculator'!$C$17)</f>
        <v>1725.6</v>
      </c>
      <c r="F5" s="55">
        <f t="shared" ref="F5:F14" si="0">F4+E5</f>
        <v>-4435.8333333333339</v>
      </c>
      <c r="G5">
        <f>IF($A5-'Retrofit Calculator'!$C$17&lt;'Retrofit Calculator'!$H$38,'Cost of Production'!$D$20-'Cost of Production'!$G$20,0)*('Retrofit Calculator'!$H$38-$A5+'Retrofit Calculator'!$C$17)/'Retrofit Calculator'!$H$38*'Retrofit Calculator'!H$26*'Retrofit Calculator'!$H$27</f>
        <v>140</v>
      </c>
      <c r="H5">
        <f>IF($A5-'Retrofit Calculator'!$C$17&lt;'Retrofit Calculator'!$H$38,'Cost of Production'!$E$20-'Cost of Production'!$H$20,0)*('Retrofit Calculator'!$H$38-$A5+'Retrofit Calculator'!$C$17)/'Retrofit Calculator'!$H$38*'Retrofit Calculator'!I$26*'Retrofit Calculator'!$H$27</f>
        <v>100</v>
      </c>
    </row>
    <row r="6" spans="1:8">
      <c r="A6" s="2">
        <f t="shared" ref="A6:A14" si="1">A5+1</f>
        <v>2026</v>
      </c>
      <c r="B6" s="6">
        <v>0</v>
      </c>
      <c r="C6" s="54">
        <f>IF($A6-'Retrofit Calculator'!$C$17&lt;'Retrofit Calculator'!$H$38,'Cost of Production'!$D$24,0)*('Retrofit Calculator'!$H$38-$A6+'Retrofit Calculator'!$C$17)/'Retrofit Calculator'!$H$38*'Retrofit Calculator'!$H$27</f>
        <v>1509.9</v>
      </c>
      <c r="D6" s="53">
        <f>IF($C$5&gt;0,C6,#REF!)</f>
        <v>1509.9</v>
      </c>
      <c r="E6" s="55">
        <f>D6/(1+'Retrofit Calculator'!$H$39)^(A6-'Retrofit Calculator'!$C$17)</f>
        <v>1438</v>
      </c>
      <c r="F6" s="55">
        <f t="shared" si="0"/>
        <v>-2997.8333333333339</v>
      </c>
      <c r="G6">
        <f>IF($A6-'Retrofit Calculator'!$C$17&lt;'Retrofit Calculator'!$H$38,'Cost of Production'!$D$20-'Cost of Production'!$G$20,0)*('Retrofit Calculator'!$H$38-$A6+'Retrofit Calculator'!$C$17)/'Retrofit Calculator'!$H$38*'Retrofit Calculator'!H$26*'Retrofit Calculator'!$H$27</f>
        <v>122.5</v>
      </c>
      <c r="H6">
        <f>IF($A6-'Retrofit Calculator'!$C$17&lt;'Retrofit Calculator'!$H$38,'Cost of Production'!$E$20-'Cost of Production'!$H$20,0)*('Retrofit Calculator'!$H$38-$A6+'Retrofit Calculator'!$C$17)/'Retrofit Calculator'!$H$38*'Retrofit Calculator'!I$26*'Retrofit Calculator'!$H$27</f>
        <v>87.5</v>
      </c>
    </row>
    <row r="7" spans="1:8">
      <c r="A7" s="2">
        <f t="shared" si="1"/>
        <v>2027</v>
      </c>
      <c r="B7" s="6">
        <v>0</v>
      </c>
      <c r="C7" s="54">
        <f>IF($A7-'Retrofit Calculator'!$C$17&lt;'Retrofit Calculator'!$H$38,'Cost of Production'!$D$24,0)*('Retrofit Calculator'!$H$38-$A7+'Retrofit Calculator'!$C$17)/'Retrofit Calculator'!$H$38*'Retrofit Calculator'!$H$27</f>
        <v>1294.2000000000003</v>
      </c>
      <c r="D7" s="53">
        <f>IF($C$5&gt;0,C7,#REF!)</f>
        <v>1294.2000000000003</v>
      </c>
      <c r="E7" s="55">
        <f>D7/(1+'Retrofit Calculator'!$H$39)^(A7-'Retrofit Calculator'!$C$17)</f>
        <v>1173.8775510204084</v>
      </c>
      <c r="F7" s="55">
        <f t="shared" si="0"/>
        <v>-1823.9557823129255</v>
      </c>
      <c r="G7">
        <f>IF($A7-'Retrofit Calculator'!$C$17&lt;'Retrofit Calculator'!$H$38,'Cost of Production'!$D$20-'Cost of Production'!$G$20,0)*('Retrofit Calculator'!$H$38-$A7+'Retrofit Calculator'!$C$17)/'Retrofit Calculator'!$H$38*'Retrofit Calculator'!H$26*'Retrofit Calculator'!$H$27</f>
        <v>105</v>
      </c>
      <c r="H7">
        <f>IF($A7-'Retrofit Calculator'!$C$17&lt;'Retrofit Calculator'!$H$38,'Cost of Production'!$E$20-'Cost of Production'!$H$20,0)*('Retrofit Calculator'!$H$38-$A7+'Retrofit Calculator'!$C$17)/'Retrofit Calculator'!$H$38*'Retrofit Calculator'!I$26*'Retrofit Calculator'!$H$27</f>
        <v>75</v>
      </c>
    </row>
    <row r="8" spans="1:8">
      <c r="A8" s="2">
        <f t="shared" si="1"/>
        <v>2028</v>
      </c>
      <c r="B8" s="6">
        <v>0</v>
      </c>
      <c r="C8" s="54">
        <f>IF($A8-'Retrofit Calculator'!$C$17&lt;'Retrofit Calculator'!$H$38,'Cost of Production'!$D$24,0)*('Retrofit Calculator'!$H$38-$A8+'Retrofit Calculator'!$C$17)/'Retrofit Calculator'!$H$38*'Retrofit Calculator'!$H$27</f>
        <v>1078.5</v>
      </c>
      <c r="D8" s="53">
        <f>IF($C$5&gt;0,C8,#REF!)</f>
        <v>1078.5</v>
      </c>
      <c r="E8" s="55">
        <f>D8/(1+'Retrofit Calculator'!$H$39)^(A8-'Retrofit Calculator'!$C$17)</f>
        <v>931.64885001619689</v>
      </c>
      <c r="F8" s="55">
        <f t="shared" si="0"/>
        <v>-892.30693229672863</v>
      </c>
      <c r="G8">
        <f>IF($A8-'Retrofit Calculator'!$C$17&lt;'Retrofit Calculator'!$H$38,'Cost of Production'!$D$20-'Cost of Production'!$G$20,0)*('Retrofit Calculator'!$H$38-$A8+'Retrofit Calculator'!$C$17)/'Retrofit Calculator'!$H$38*'Retrofit Calculator'!H$26*'Retrofit Calculator'!$H$27</f>
        <v>87.5</v>
      </c>
      <c r="H8">
        <f>IF($A8-'Retrofit Calculator'!$C$17&lt;'Retrofit Calculator'!$H$38,'Cost of Production'!$E$20-'Cost of Production'!$H$20,0)*('Retrofit Calculator'!$H$38-$A8+'Retrofit Calculator'!$C$17)/'Retrofit Calculator'!$H$38*'Retrofit Calculator'!I$26*'Retrofit Calculator'!$H$27</f>
        <v>62.5</v>
      </c>
    </row>
    <row r="9" spans="1:8">
      <c r="A9" s="2">
        <f t="shared" si="1"/>
        <v>2029</v>
      </c>
      <c r="B9" s="6">
        <v>0</v>
      </c>
      <c r="C9" s="54">
        <f>IF($A9-'Retrofit Calculator'!$C$17&lt;'Retrofit Calculator'!$H$38,'Cost of Production'!$D$24,0)*('Retrofit Calculator'!$H$38-$A9+'Retrofit Calculator'!$C$17)/'Retrofit Calculator'!$H$38*'Retrofit Calculator'!$H$27</f>
        <v>862.8</v>
      </c>
      <c r="D9" s="53">
        <f>IF($C$5&gt;0,C9,#REF!)</f>
        <v>862.8</v>
      </c>
      <c r="E9" s="55">
        <f>D9/(1+'Retrofit Calculator'!$H$39)^(A9-'Retrofit Calculator'!$C$17)</f>
        <v>709.82769525043568</v>
      </c>
      <c r="F9" s="55">
        <f t="shared" si="0"/>
        <v>-182.47923704629295</v>
      </c>
      <c r="G9">
        <f>IF($A9-'Retrofit Calculator'!$C$17&lt;'Retrofit Calculator'!$H$38,'Cost of Production'!$D$20-'Cost of Production'!$G$20,0)*('Retrofit Calculator'!$H$38-$A9+'Retrofit Calculator'!$C$17)/'Retrofit Calculator'!$H$38*'Retrofit Calculator'!H$26*'Retrofit Calculator'!$H$27</f>
        <v>70</v>
      </c>
      <c r="H9">
        <f>IF($A9-'Retrofit Calculator'!$C$17&lt;'Retrofit Calculator'!$H$38,'Cost of Production'!$E$20-'Cost of Production'!$H$20,0)*('Retrofit Calculator'!$H$38-$A9+'Retrofit Calculator'!$C$17)/'Retrofit Calculator'!$H$38*'Retrofit Calculator'!I$26*'Retrofit Calculator'!$H$27</f>
        <v>50</v>
      </c>
    </row>
    <row r="10" spans="1:8">
      <c r="A10" s="2">
        <f t="shared" si="1"/>
        <v>2030</v>
      </c>
      <c r="B10" s="6">
        <v>0</v>
      </c>
      <c r="C10" s="54">
        <f>IF($A10-'Retrofit Calculator'!$C$17&lt;'Retrofit Calculator'!$H$38,'Cost of Production'!$D$24,0)*('Retrofit Calculator'!$H$38-$A10+'Retrofit Calculator'!$C$17)/'Retrofit Calculator'!$H$38*'Retrofit Calculator'!$H$27</f>
        <v>647.10000000000014</v>
      </c>
      <c r="D10" s="53">
        <f>IF($C$5&gt;0,C10,#REF!)</f>
        <v>647.10000000000014</v>
      </c>
      <c r="E10" s="55">
        <f>D10/(1+'Retrofit Calculator'!$H$39)^(A10-'Retrofit Calculator'!$C$17)</f>
        <v>507.01978232173991</v>
      </c>
      <c r="F10" s="55">
        <f t="shared" si="0"/>
        <v>324.54054527544696</v>
      </c>
      <c r="G10">
        <f>IF($A10-'Retrofit Calculator'!$C$17&lt;'Retrofit Calculator'!$H$38,'Cost of Production'!$D$20-'Cost of Production'!$G$20,0)*('Retrofit Calculator'!$H$38-$A10+'Retrofit Calculator'!$C$17)/'Retrofit Calculator'!$H$38*'Retrofit Calculator'!H$26*'Retrofit Calculator'!$H$27</f>
        <v>52.5</v>
      </c>
      <c r="H10">
        <f>IF($A10-'Retrofit Calculator'!$C$17&lt;'Retrofit Calculator'!$H$38,'Cost of Production'!$E$20-'Cost of Production'!$H$20,0)*('Retrofit Calculator'!$H$38-$A10+'Retrofit Calculator'!$C$17)/'Retrofit Calculator'!$H$38*'Retrofit Calculator'!I$26*'Retrofit Calculator'!$H$27</f>
        <v>37.5</v>
      </c>
    </row>
    <row r="11" spans="1:8">
      <c r="A11" s="2">
        <f t="shared" si="1"/>
        <v>2031</v>
      </c>
      <c r="B11" s="6">
        <v>0</v>
      </c>
      <c r="C11" s="54">
        <f>IF($A11-'Retrofit Calculator'!$C$17&lt;'Retrofit Calculator'!$H$38,'Cost of Production'!$D$24,0)*('Retrofit Calculator'!$H$38-$A11+'Retrofit Calculator'!$C$17)/'Retrofit Calculator'!$H$38*'Retrofit Calculator'!$H$27</f>
        <v>431.4</v>
      </c>
      <c r="D11" s="53">
        <f>IF($C$5&gt;0,C11,#REF!)</f>
        <v>431.4</v>
      </c>
      <c r="E11" s="55">
        <f>D11/(1+'Retrofit Calculator'!$H$39)^(A11-'Retrofit Calculator'!$C$17)</f>
        <v>321.91732210904115</v>
      </c>
      <c r="F11" s="55">
        <f t="shared" si="0"/>
        <v>646.45786738448805</v>
      </c>
      <c r="G11">
        <f>IF($A11-'Retrofit Calculator'!$C$17&lt;'Retrofit Calculator'!$H$38,'Cost of Production'!$D$20-'Cost of Production'!$G$20,0)*('Retrofit Calculator'!$H$38-$A11+'Retrofit Calculator'!$C$17)/'Retrofit Calculator'!$H$38*'Retrofit Calculator'!H$26*'Retrofit Calculator'!$H$27</f>
        <v>35</v>
      </c>
      <c r="H11">
        <f>IF($A11-'Retrofit Calculator'!$C$17&lt;'Retrofit Calculator'!$H$38,'Cost of Production'!$E$20-'Cost of Production'!$H$20,0)*('Retrofit Calculator'!$H$38-$A11+'Retrofit Calculator'!$C$17)/'Retrofit Calculator'!$H$38*'Retrofit Calculator'!I$26*'Retrofit Calculator'!$H$27</f>
        <v>25</v>
      </c>
    </row>
    <row r="12" spans="1:8">
      <c r="A12" s="2">
        <f t="shared" si="1"/>
        <v>2032</v>
      </c>
      <c r="B12" s="6">
        <v>0</v>
      </c>
      <c r="C12" s="54">
        <f>IF($A12-'Retrofit Calculator'!$C$17&lt;'Retrofit Calculator'!$H$38,'Cost of Production'!$D$24,0)*('Retrofit Calculator'!$H$38-$A12+'Retrofit Calculator'!$C$17)/'Retrofit Calculator'!$H$38*'Retrofit Calculator'!$H$27</f>
        <v>215.7</v>
      </c>
      <c r="D12" s="53">
        <f>IF($C$5&gt;0,C12,#REF!)</f>
        <v>215.7</v>
      </c>
      <c r="E12" s="55">
        <f>D12/(1+'Retrofit Calculator'!$H$39)^(A12-'Retrofit Calculator'!$C$17)</f>
        <v>153.29396290906718</v>
      </c>
      <c r="F12" s="55">
        <f t="shared" si="0"/>
        <v>799.75183029355526</v>
      </c>
      <c r="G12">
        <f>IF($A12-'Retrofit Calculator'!$C$17&lt;'Retrofit Calculator'!$H$38,'Cost of Production'!$D$20-'Cost of Production'!$G$20,0)*('Retrofit Calculator'!$H$38-$A12+'Retrofit Calculator'!$C$17)/'Retrofit Calculator'!$H$38*'Retrofit Calculator'!H$26*'Retrofit Calculator'!$H$27</f>
        <v>17.5</v>
      </c>
      <c r="H12">
        <f>IF($A12-'Retrofit Calculator'!$C$17&lt;'Retrofit Calculator'!$H$38,'Cost of Production'!$E$20-'Cost of Production'!$H$20,0)*('Retrofit Calculator'!$H$38-$A12+'Retrofit Calculator'!$C$17)/'Retrofit Calculator'!$H$38*'Retrofit Calculator'!I$26*'Retrofit Calculator'!$H$27</f>
        <v>12.5</v>
      </c>
    </row>
    <row r="13" spans="1:8">
      <c r="A13" s="2">
        <f t="shared" si="1"/>
        <v>2033</v>
      </c>
      <c r="B13" s="6">
        <v>0</v>
      </c>
      <c r="C13" s="54">
        <f>IF($A13-'Retrofit Calculator'!$C$17&lt;'Retrofit Calculator'!$H$38,'Cost of Production'!$D$24,0)*('Retrofit Calculator'!$H$38-$A13+'Retrofit Calculator'!$C$17)/'Retrofit Calculator'!$H$38*'Retrofit Calculator'!$H$27</f>
        <v>0</v>
      </c>
      <c r="D13" s="53">
        <f>IF($C$5&gt;0,C13,#REF!)</f>
        <v>0</v>
      </c>
      <c r="E13" s="55">
        <f>D13/(1+'Retrofit Calculator'!$H$39)^(A13-'Retrofit Calculator'!$C$17)</f>
        <v>0</v>
      </c>
      <c r="F13" s="55">
        <f t="shared" si="0"/>
        <v>799.75183029355526</v>
      </c>
      <c r="G13">
        <f>IF($A13-'Retrofit Calculator'!$C$17&lt;'Retrofit Calculator'!$H$38,'Cost of Production'!$D$20-'Cost of Production'!$G$20,0)*('Retrofit Calculator'!$H$38-$A13+'Retrofit Calculator'!$C$17)/'Retrofit Calculator'!$H$38*'Retrofit Calculator'!H$26*'Retrofit Calculator'!$H$27</f>
        <v>0</v>
      </c>
      <c r="H13">
        <f>IF($A13-'Retrofit Calculator'!$C$17&lt;'Retrofit Calculator'!$H$38,'Cost of Production'!$E$20-'Cost of Production'!$H$20,0)*('Retrofit Calculator'!$H$38-$A13+'Retrofit Calculator'!$C$17)/'Retrofit Calculator'!$H$38*'Retrofit Calculator'!I$26*'Retrofit Calculator'!$H$27</f>
        <v>0</v>
      </c>
    </row>
    <row r="14" spans="1:8">
      <c r="A14" s="2">
        <f t="shared" si="1"/>
        <v>2034</v>
      </c>
      <c r="B14" s="6">
        <v>0</v>
      </c>
      <c r="C14" s="54">
        <f>IF($A14-'Retrofit Calculator'!$C$17&lt;'Retrofit Calculator'!$H$38,'Cost of Production'!$D$24,0)*('Retrofit Calculator'!$H$38-$A14+'Retrofit Calculator'!$C$17)/'Retrofit Calculator'!$H$38*'Retrofit Calculator'!$H$27</f>
        <v>0</v>
      </c>
      <c r="D14" s="53">
        <f>IF($C$5&gt;0,C14,#REF!)</f>
        <v>0</v>
      </c>
      <c r="E14" s="55">
        <f>D14/(1+'Retrofit Calculator'!$H$39)^(A14-'Retrofit Calculator'!$C$17)</f>
        <v>0</v>
      </c>
      <c r="F14" s="55">
        <f t="shared" si="0"/>
        <v>799.75183029355526</v>
      </c>
      <c r="G14">
        <f>IF($A14-'Retrofit Calculator'!$C$17&lt;'Retrofit Calculator'!$H$38,'Cost of Production'!$D$20-'Cost of Production'!$G$20,0)*('Retrofit Calculator'!$H$38-$A14+'Retrofit Calculator'!$C$17)/'Retrofit Calculator'!$H$38*'Retrofit Calculator'!H$26*'Retrofit Calculator'!$H$27</f>
        <v>0</v>
      </c>
      <c r="H14">
        <f>IF($A14-'Retrofit Calculator'!$C$17&lt;'Retrofit Calculator'!$H$38,'Cost of Production'!$E$20-'Cost of Production'!$H$20,0)*('Retrofit Calculator'!$H$38-$A14+'Retrofit Calculator'!$C$17)/'Retrofit Calculator'!$H$38*'Retrofit Calculator'!I$26*'Retrofit Calculator'!$H$27</f>
        <v>0</v>
      </c>
    </row>
    <row r="15" spans="1:8" ht="13.15">
      <c r="A15" s="2"/>
      <c r="B15" s="5" t="s">
        <v>2</v>
      </c>
      <c r="C15" s="5" t="s">
        <v>2</v>
      </c>
      <c r="D15" s="5" t="s">
        <v>2</v>
      </c>
      <c r="E15" s="5" t="s">
        <v>2</v>
      </c>
    </row>
    <row r="16" spans="1:8">
      <c r="A16" s="4" t="s">
        <v>3</v>
      </c>
      <c r="B16" s="6">
        <f>SUM(B5:B14)</f>
        <v>0</v>
      </c>
      <c r="C16" s="6">
        <f>SUM(C5:C14)</f>
        <v>7765.2000000000007</v>
      </c>
      <c r="D16" s="6">
        <f>SUM(D4:D14)</f>
        <v>1603.7666666666667</v>
      </c>
      <c r="E16" s="6">
        <f>SUM(E4:E14)</f>
        <v>799.75183029355526</v>
      </c>
      <c r="G16" s="2">
        <f>SUM(G4:G14)</f>
        <v>630</v>
      </c>
      <c r="H16" s="2">
        <f>SUM(H4:H14)</f>
        <v>450</v>
      </c>
    </row>
    <row r="17" spans="1:8">
      <c r="A17" s="3" t="s">
        <v>4</v>
      </c>
      <c r="B17" s="2"/>
      <c r="C17" s="2"/>
      <c r="D17" s="2"/>
    </row>
    <row r="18" spans="1:8">
      <c r="D18" s="11"/>
    </row>
    <row r="19" spans="1:8">
      <c r="C19" s="48" t="s">
        <v>15</v>
      </c>
      <c r="D19" s="49">
        <f>IRR(D4:D11, 0.2)</f>
        <v>6.7919158204110319E-2</v>
      </c>
    </row>
    <row r="20" spans="1:8">
      <c r="C20" s="50" t="s">
        <v>32</v>
      </c>
      <c r="D20" s="97">
        <f>IF(F6&gt;0,A6-A5-F5/E6,IF(F7&gt;0,A7-A5-F6/E7,IF(F8&gt;0,A8-A5-F7/E8,IF(F9&gt;0,A9-A5-F8/E9,IF(F10&gt;0,A10-A5-F9/E10,IF(F11&gt;0,A11-A5-F10/E11,IF(F12&gt;0,A12-A5-F11/E12,IF(F13&gt;0,A13-A5-F12/E13,IF(F14&gt;0,A14-A5-F13/E14,"Over 10 years")))))))))</f>
        <v>5.3599055567628664</v>
      </c>
    </row>
    <row r="21" spans="1:8">
      <c r="C21" s="7"/>
      <c r="D21" s="96">
        <f>IF(D20&lt;='Retrofit Calculator'!H38,'Cash Flow'!D20,"Longer than expected retrofit lifetime")</f>
        <v>5.3599055567628664</v>
      </c>
    </row>
    <row r="22" spans="1:8" ht="13.15">
      <c r="A22" s="61" t="s">
        <v>43</v>
      </c>
    </row>
    <row r="23" spans="1:8" ht="13.15">
      <c r="A23" s="60" t="s">
        <v>10</v>
      </c>
      <c r="B23" s="10">
        <f>'Retrofit Calculator'!C35</f>
        <v>6161</v>
      </c>
      <c r="C23" s="9"/>
      <c r="D23" s="6">
        <f>$C$23-$B$23</f>
        <v>-6161</v>
      </c>
      <c r="E23" s="6">
        <f>-B23</f>
        <v>-6161</v>
      </c>
      <c r="F23" s="51">
        <f>-B23</f>
        <v>-6161</v>
      </c>
    </row>
    <row r="24" spans="1:8">
      <c r="A24" s="2">
        <f>'Retrofit Calculator'!$C$17</f>
        <v>2025</v>
      </c>
      <c r="B24" s="6">
        <v>0</v>
      </c>
      <c r="C24" s="54" t="e">
        <f>IF($A24-'Retrofit Calculator'!$C$17&lt;'Retrofit Calculator'!$C$38,'Cost of Production'!$D$12,0)*('Retrofit Calculator'!$C$38-$A24+'Retrofit Calculator'!$C$17)/'Retrofit Calculator'!$C$38*'Retrofit Calculator'!$C$27</f>
        <v>#DIV/0!</v>
      </c>
      <c r="D24" s="53" t="e">
        <f>IF($C$24&gt;0,C24,#REF!)</f>
        <v>#DIV/0!</v>
      </c>
      <c r="E24" s="55" t="e">
        <f>D24/(1+'Retrofit Calculator'!$C$39)^(A24-'Retrofit Calculator'!$C$17)</f>
        <v>#DIV/0!</v>
      </c>
      <c r="F24" s="55" t="e">
        <f t="shared" ref="F24:F33" si="2">F23+E24</f>
        <v>#DIV/0!</v>
      </c>
      <c r="G24" t="e">
        <f>IF($A24-'Retrofit Calculator'!$C$17&lt;'Retrofit Calculator'!$H$38,'Cost of Production'!$D$8-'Cost of Production'!$G$8,0)*('Retrofit Calculator'!$C$38-$A24+'Retrofit Calculator'!$C$17)/'Retrofit Calculator'!$C$38*'Retrofit Calculator'!C$26*'Retrofit Calculator'!$C$27</f>
        <v>#DIV/0!</v>
      </c>
      <c r="H24" t="e">
        <f>IF($A24-'Retrofit Calculator'!$C$17&lt;'Retrofit Calculator'!$H$38,'Cost of Production'!$E$8-'Cost of Production'!$H$8,0)*('Retrofit Calculator'!$C$38-$A24+'Retrofit Calculator'!$C$17)/'Retrofit Calculator'!$C$38*'Retrofit Calculator'!D$26*'Retrofit Calculator'!$C$27</f>
        <v>#DIV/0!</v>
      </c>
    </row>
    <row r="25" spans="1:8">
      <c r="A25" s="2">
        <f t="shared" ref="A25:A33" si="3">A24+1</f>
        <v>2026</v>
      </c>
      <c r="B25" s="6">
        <v>0</v>
      </c>
      <c r="C25" s="54" t="e">
        <f>IF($A25-'Retrofit Calculator'!$C$17&lt;'Retrofit Calculator'!$C$38,'Cost of Production'!$D$12,0)*('Retrofit Calculator'!$C$38-$A25+'Retrofit Calculator'!$C$17)/'Retrofit Calculator'!$C$38*'Retrofit Calculator'!$C$27</f>
        <v>#DIV/0!</v>
      </c>
      <c r="D25" s="53" t="e">
        <f>IF($C$24&gt;0,C25,#REF!)</f>
        <v>#DIV/0!</v>
      </c>
      <c r="E25" s="55" t="e">
        <f>D25/(1+'Retrofit Calculator'!$C$39)^(A25-'Retrofit Calculator'!$C$17)</f>
        <v>#DIV/0!</v>
      </c>
      <c r="F25" s="55" t="e">
        <f t="shared" si="2"/>
        <v>#DIV/0!</v>
      </c>
      <c r="G25" t="e">
        <f>IF($A25-'Retrofit Calculator'!$C$17&lt;'Retrofit Calculator'!$H$38,'Cost of Production'!$D$8-'Cost of Production'!$G$8,0)*('Retrofit Calculator'!$C$38-$A25+'Retrofit Calculator'!$C$17)/'Retrofit Calculator'!$C$38*'Retrofit Calculator'!C$26*'Retrofit Calculator'!$C$27</f>
        <v>#DIV/0!</v>
      </c>
      <c r="H25" t="e">
        <f>IF($A25-'Retrofit Calculator'!$C$17&lt;'Retrofit Calculator'!$H$38,'Cost of Production'!$E$8-'Cost of Production'!$H$8,0)*('Retrofit Calculator'!$C$38-$A25+'Retrofit Calculator'!$C$17)/'Retrofit Calculator'!$C$38*'Retrofit Calculator'!D$26*'Retrofit Calculator'!$C$27</f>
        <v>#DIV/0!</v>
      </c>
    </row>
    <row r="26" spans="1:8">
      <c r="A26" s="2">
        <f t="shared" si="3"/>
        <v>2027</v>
      </c>
      <c r="B26" s="6">
        <v>0</v>
      </c>
      <c r="C26" s="54" t="e">
        <f>IF($A26-'Retrofit Calculator'!$C$17&lt;'Retrofit Calculator'!$C$38,'Cost of Production'!$D$12,0)*('Retrofit Calculator'!$C$38-$A26+'Retrofit Calculator'!$C$17)/'Retrofit Calculator'!$C$38*'Retrofit Calculator'!$C$27</f>
        <v>#DIV/0!</v>
      </c>
      <c r="D26" s="53" t="e">
        <f>IF($C$24&gt;0,C26,#REF!)</f>
        <v>#DIV/0!</v>
      </c>
      <c r="E26" s="55" t="e">
        <f>D26/(1+'Retrofit Calculator'!$C$39)^(A26-'Retrofit Calculator'!$C$17)</f>
        <v>#DIV/0!</v>
      </c>
      <c r="F26" s="55" t="e">
        <f t="shared" si="2"/>
        <v>#DIV/0!</v>
      </c>
      <c r="G26" t="e">
        <f>IF($A26-'Retrofit Calculator'!$C$17&lt;'Retrofit Calculator'!$H$38,'Cost of Production'!$D$8-'Cost of Production'!$G$8,0)*('Retrofit Calculator'!$C$38-$A26+'Retrofit Calculator'!$C$17)/'Retrofit Calculator'!$C$38*'Retrofit Calculator'!C$26*'Retrofit Calculator'!$C$27</f>
        <v>#DIV/0!</v>
      </c>
      <c r="H26" t="e">
        <f>IF($A26-'Retrofit Calculator'!$C$17&lt;'Retrofit Calculator'!$H$38,'Cost of Production'!$E$8-'Cost of Production'!$H$8,0)*('Retrofit Calculator'!$C$38-$A26+'Retrofit Calculator'!$C$17)/'Retrofit Calculator'!$C$38*'Retrofit Calculator'!D$26*'Retrofit Calculator'!$C$27</f>
        <v>#DIV/0!</v>
      </c>
    </row>
    <row r="27" spans="1:8">
      <c r="A27" s="2">
        <f t="shared" si="3"/>
        <v>2028</v>
      </c>
      <c r="B27" s="6">
        <v>0</v>
      </c>
      <c r="C27" s="54" t="e">
        <f>IF($A27-'Retrofit Calculator'!$C$17&lt;'Retrofit Calculator'!$C$38,'Cost of Production'!$D$12,0)*('Retrofit Calculator'!$C$38-$A27+'Retrofit Calculator'!$C$17)/'Retrofit Calculator'!$C$38*'Retrofit Calculator'!$C$27</f>
        <v>#DIV/0!</v>
      </c>
      <c r="D27" s="53" t="e">
        <f>IF($C$24&gt;0,C27,#REF!)</f>
        <v>#DIV/0!</v>
      </c>
      <c r="E27" s="55" t="e">
        <f>D27/(1+'Retrofit Calculator'!$C$39)^(A27-'Retrofit Calculator'!$C$17)</f>
        <v>#DIV/0!</v>
      </c>
      <c r="F27" s="55" t="e">
        <f t="shared" si="2"/>
        <v>#DIV/0!</v>
      </c>
      <c r="G27" t="e">
        <f>IF($A27-'Retrofit Calculator'!$C$17&lt;'Retrofit Calculator'!$H$38,'Cost of Production'!$D$8-'Cost of Production'!$G$8,0)*('Retrofit Calculator'!$C$38-$A27+'Retrofit Calculator'!$C$17)/'Retrofit Calculator'!$C$38*'Retrofit Calculator'!C$26*'Retrofit Calculator'!$C$27</f>
        <v>#DIV/0!</v>
      </c>
      <c r="H27" t="e">
        <f>IF($A27-'Retrofit Calculator'!$C$17&lt;'Retrofit Calculator'!$H$38,'Cost of Production'!$E$8-'Cost of Production'!$H$8,0)*('Retrofit Calculator'!$C$38-$A27+'Retrofit Calculator'!$C$17)/'Retrofit Calculator'!$C$38*'Retrofit Calculator'!D$26*'Retrofit Calculator'!$C$27</f>
        <v>#DIV/0!</v>
      </c>
    </row>
    <row r="28" spans="1:8">
      <c r="A28" s="2">
        <f t="shared" si="3"/>
        <v>2029</v>
      </c>
      <c r="B28" s="6">
        <v>0</v>
      </c>
      <c r="C28" s="54" t="e">
        <f>IF($A28-'Retrofit Calculator'!$C$17&lt;'Retrofit Calculator'!$C$38,'Cost of Production'!$D$12,0)*('Retrofit Calculator'!$C$38-$A28+'Retrofit Calculator'!$C$17)/'Retrofit Calculator'!$C$38*'Retrofit Calculator'!$C$27</f>
        <v>#DIV/0!</v>
      </c>
      <c r="D28" s="53" t="e">
        <f>IF($C$24&gt;0,C28,#REF!)</f>
        <v>#DIV/0!</v>
      </c>
      <c r="E28" s="55" t="e">
        <f>D28/(1+'Retrofit Calculator'!$C$39)^(A28-'Retrofit Calculator'!$C$17)</f>
        <v>#DIV/0!</v>
      </c>
      <c r="F28" s="55" t="e">
        <f t="shared" si="2"/>
        <v>#DIV/0!</v>
      </c>
      <c r="G28" t="e">
        <f>IF($A28-'Retrofit Calculator'!$C$17&lt;'Retrofit Calculator'!$H$38,'Cost of Production'!$D$8-'Cost of Production'!$G$8,0)*('Retrofit Calculator'!$C$38-$A28+'Retrofit Calculator'!$C$17)/'Retrofit Calculator'!$C$38*'Retrofit Calculator'!C$26*'Retrofit Calculator'!$C$27</f>
        <v>#DIV/0!</v>
      </c>
      <c r="H28" t="e">
        <f>IF($A28-'Retrofit Calculator'!$C$17&lt;'Retrofit Calculator'!$H$38,'Cost of Production'!$E$8-'Cost of Production'!$H$8,0)*('Retrofit Calculator'!$C$38-$A28+'Retrofit Calculator'!$C$17)/'Retrofit Calculator'!$C$38*'Retrofit Calculator'!D$26*'Retrofit Calculator'!$C$27</f>
        <v>#DIV/0!</v>
      </c>
    </row>
    <row r="29" spans="1:8">
      <c r="A29" s="2">
        <f t="shared" si="3"/>
        <v>2030</v>
      </c>
      <c r="B29" s="6">
        <v>0</v>
      </c>
      <c r="C29" s="54" t="e">
        <f>IF($A29-'Retrofit Calculator'!$C$17&lt;'Retrofit Calculator'!$C$38,'Cost of Production'!$D$12,0)*('Retrofit Calculator'!$C$38-$A29+'Retrofit Calculator'!$C$17)/'Retrofit Calculator'!$C$38*'Retrofit Calculator'!$C$27</f>
        <v>#DIV/0!</v>
      </c>
      <c r="D29" s="53" t="e">
        <f>IF($C$24&gt;0,C29,#REF!)</f>
        <v>#DIV/0!</v>
      </c>
      <c r="E29" s="55" t="e">
        <f>D29/(1+'Retrofit Calculator'!$C$39)^(A29-'Retrofit Calculator'!$C$17)</f>
        <v>#DIV/0!</v>
      </c>
      <c r="F29" s="55" t="e">
        <f t="shared" si="2"/>
        <v>#DIV/0!</v>
      </c>
      <c r="G29" t="e">
        <f>IF($A29-'Retrofit Calculator'!$C$17&lt;'Retrofit Calculator'!$H$38,'Cost of Production'!$D$8-'Cost of Production'!$G$8,0)*('Retrofit Calculator'!$C$38-$A29+'Retrofit Calculator'!$C$17)/'Retrofit Calculator'!$C$38*'Retrofit Calculator'!C$26*'Retrofit Calculator'!$C$27</f>
        <v>#DIV/0!</v>
      </c>
      <c r="H29" t="e">
        <f>IF($A29-'Retrofit Calculator'!$C$17&lt;'Retrofit Calculator'!$H$38,'Cost of Production'!$E$8-'Cost of Production'!$H$8,0)*('Retrofit Calculator'!$C$38-$A29+'Retrofit Calculator'!$C$17)/'Retrofit Calculator'!$C$38*'Retrofit Calculator'!D$26*'Retrofit Calculator'!$C$27</f>
        <v>#DIV/0!</v>
      </c>
    </row>
    <row r="30" spans="1:8">
      <c r="A30" s="2">
        <f t="shared" si="3"/>
        <v>2031</v>
      </c>
      <c r="B30" s="6">
        <v>0</v>
      </c>
      <c r="C30" s="54" t="e">
        <f>IF($A30-'Retrofit Calculator'!$C$17&lt;'Retrofit Calculator'!$C$38,'Cost of Production'!$D$12,0)*('Retrofit Calculator'!$C$38-$A30+'Retrofit Calculator'!$C$17)/'Retrofit Calculator'!$C$38*'Retrofit Calculator'!$C$27</f>
        <v>#DIV/0!</v>
      </c>
      <c r="D30" s="53" t="e">
        <f>IF($C$24&gt;0,C30,#REF!)</f>
        <v>#DIV/0!</v>
      </c>
      <c r="E30" s="55" t="e">
        <f>D30/(1+'Retrofit Calculator'!$C$39)^(A30-'Retrofit Calculator'!$C$17)</f>
        <v>#DIV/0!</v>
      </c>
      <c r="F30" s="55" t="e">
        <f t="shared" si="2"/>
        <v>#DIV/0!</v>
      </c>
      <c r="G30" t="e">
        <f>IF($A30-'Retrofit Calculator'!$C$17&lt;'Retrofit Calculator'!$H$38,'Cost of Production'!$D$8-'Cost of Production'!$G$8,0)*('Retrofit Calculator'!$C$38-$A30+'Retrofit Calculator'!$C$17)/'Retrofit Calculator'!$C$38*'Retrofit Calculator'!C$26*'Retrofit Calculator'!$C$27</f>
        <v>#DIV/0!</v>
      </c>
      <c r="H30" t="e">
        <f>IF($A30-'Retrofit Calculator'!$C$17&lt;'Retrofit Calculator'!$H$38,'Cost of Production'!$E$8-'Cost of Production'!$H$8,0)*('Retrofit Calculator'!$C$38-$A30+'Retrofit Calculator'!$C$17)/'Retrofit Calculator'!$C$38*'Retrofit Calculator'!D$26*'Retrofit Calculator'!$C$27</f>
        <v>#DIV/0!</v>
      </c>
    </row>
    <row r="31" spans="1:8">
      <c r="A31" s="2">
        <f t="shared" si="3"/>
        <v>2032</v>
      </c>
      <c r="B31" s="6">
        <v>0</v>
      </c>
      <c r="C31" s="54" t="e">
        <f>IF($A31-'Retrofit Calculator'!$C$17&lt;'Retrofit Calculator'!$C$38,'Cost of Production'!$D$12,0)*('Retrofit Calculator'!$C$38-$A31+'Retrofit Calculator'!$C$17)/'Retrofit Calculator'!$C$38*'Retrofit Calculator'!$C$27</f>
        <v>#DIV/0!</v>
      </c>
      <c r="D31" s="53" t="e">
        <f>IF($C$24&gt;0,C31,#REF!)</f>
        <v>#DIV/0!</v>
      </c>
      <c r="E31" s="55" t="e">
        <f>D31/(1+'Retrofit Calculator'!$C$39)^(A31-'Retrofit Calculator'!$C$17)</f>
        <v>#DIV/0!</v>
      </c>
      <c r="F31" s="55" t="e">
        <f t="shared" si="2"/>
        <v>#DIV/0!</v>
      </c>
      <c r="G31" t="e">
        <f>IF($A31-'Retrofit Calculator'!$C$17&lt;'Retrofit Calculator'!$H$38,'Cost of Production'!$D$8-'Cost of Production'!$G$8,0)*('Retrofit Calculator'!$C$38-$A31+'Retrofit Calculator'!$C$17)/'Retrofit Calculator'!$C$38*'Retrofit Calculator'!C$26*'Retrofit Calculator'!$C$27</f>
        <v>#DIV/0!</v>
      </c>
      <c r="H31" t="e">
        <f>IF($A31-'Retrofit Calculator'!$C$17&lt;'Retrofit Calculator'!$H$38,'Cost of Production'!$E$8-'Cost of Production'!$H$8,0)*('Retrofit Calculator'!$C$38-$A31+'Retrofit Calculator'!$C$17)/'Retrofit Calculator'!$C$38*'Retrofit Calculator'!D$26*'Retrofit Calculator'!$C$27</f>
        <v>#DIV/0!</v>
      </c>
    </row>
    <row r="32" spans="1:8">
      <c r="A32" s="2">
        <f t="shared" si="3"/>
        <v>2033</v>
      </c>
      <c r="B32" s="6">
        <v>0</v>
      </c>
      <c r="C32" s="54" t="e">
        <f>IF($A32-'Retrofit Calculator'!$C$17&lt;'Retrofit Calculator'!$C$38,'Cost of Production'!$D$12,0)*('Retrofit Calculator'!$C$38-$A32+'Retrofit Calculator'!$C$17)/'Retrofit Calculator'!$C$38*'Retrofit Calculator'!$C$27</f>
        <v>#DIV/0!</v>
      </c>
      <c r="D32" s="53" t="e">
        <f>IF($C$24&gt;0,C32,#REF!)</f>
        <v>#DIV/0!</v>
      </c>
      <c r="E32" s="55" t="e">
        <f>D32/(1+'Retrofit Calculator'!$C$39)^(A32-'Retrofit Calculator'!$C$17)</f>
        <v>#DIV/0!</v>
      </c>
      <c r="F32" s="55" t="e">
        <f t="shared" si="2"/>
        <v>#DIV/0!</v>
      </c>
      <c r="G32" t="e">
        <f>IF($A32-'Retrofit Calculator'!$C$17&lt;'Retrofit Calculator'!$H$38,'Cost of Production'!$D$8-'Cost of Production'!$G$8,0)*('Retrofit Calculator'!$C$38-$A32+'Retrofit Calculator'!$C$17)/'Retrofit Calculator'!$C$38*'Retrofit Calculator'!C$26*'Retrofit Calculator'!$C$27</f>
        <v>#DIV/0!</v>
      </c>
      <c r="H32" t="e">
        <f>IF($A32-'Retrofit Calculator'!$C$17&lt;'Retrofit Calculator'!$H$38,'Cost of Production'!$E$8-'Cost of Production'!$H$8,0)*('Retrofit Calculator'!$C$38-$A32+'Retrofit Calculator'!$C$17)/'Retrofit Calculator'!$C$38*'Retrofit Calculator'!D$26*'Retrofit Calculator'!$C$27</f>
        <v>#DIV/0!</v>
      </c>
    </row>
    <row r="33" spans="1:8">
      <c r="A33" s="2">
        <f t="shared" si="3"/>
        <v>2034</v>
      </c>
      <c r="B33" s="6">
        <v>0</v>
      </c>
      <c r="C33" s="54" t="e">
        <f>IF($A33-'Retrofit Calculator'!$C$17&lt;'Retrofit Calculator'!$C$38,'Cost of Production'!$D$12,0)*('Retrofit Calculator'!$C$38-$A33+'Retrofit Calculator'!$C$17)/'Retrofit Calculator'!$C$38*'Retrofit Calculator'!$C$27</f>
        <v>#DIV/0!</v>
      </c>
      <c r="D33" s="53" t="e">
        <f>IF($C$24&gt;0,C33,#REF!)</f>
        <v>#DIV/0!</v>
      </c>
      <c r="E33" s="55" t="e">
        <f>D33/(1+'Retrofit Calculator'!$C$39)^(A33-'Retrofit Calculator'!$C$17)</f>
        <v>#DIV/0!</v>
      </c>
      <c r="F33" s="55" t="e">
        <f t="shared" si="2"/>
        <v>#DIV/0!</v>
      </c>
      <c r="G33" t="e">
        <f>IF($A33-'Retrofit Calculator'!$C$17&lt;'Retrofit Calculator'!$H$38,'Cost of Production'!$D$8-'Cost of Production'!$G$8,0)*('Retrofit Calculator'!$C$38-$A33+'Retrofit Calculator'!$C$17)/'Retrofit Calculator'!$C$38*'Retrofit Calculator'!C$26*'Retrofit Calculator'!$C$27</f>
        <v>#DIV/0!</v>
      </c>
      <c r="H33" t="e">
        <f>IF($A33-'Retrofit Calculator'!$C$17&lt;'Retrofit Calculator'!$H$38,'Cost of Production'!$E$8-'Cost of Production'!$H$8,0)*('Retrofit Calculator'!$C$38-$A33+'Retrofit Calculator'!$C$17)/'Retrofit Calculator'!$C$38*'Retrofit Calculator'!D$26*'Retrofit Calculator'!$C$27</f>
        <v>#DIV/0!</v>
      </c>
    </row>
    <row r="34" spans="1:8" ht="13.15">
      <c r="A34" s="2"/>
      <c r="B34" s="5" t="s">
        <v>2</v>
      </c>
      <c r="C34" s="5" t="s">
        <v>2</v>
      </c>
      <c r="D34" s="5" t="s">
        <v>2</v>
      </c>
      <c r="E34" s="5" t="s">
        <v>2</v>
      </c>
    </row>
    <row r="35" spans="1:8">
      <c r="A35" s="4" t="s">
        <v>3</v>
      </c>
      <c r="B35" s="6">
        <f>SUM(B24:B33)</f>
        <v>0</v>
      </c>
      <c r="C35" s="6" t="e">
        <f>SUM(C24:C33)</f>
        <v>#DIV/0!</v>
      </c>
      <c r="D35" s="6" t="e">
        <f>SUM(D23:D33)</f>
        <v>#DIV/0!</v>
      </c>
      <c r="E35" s="6" t="e">
        <f>SUM(E23:E33)</f>
        <v>#DIV/0!</v>
      </c>
      <c r="G35" s="2" t="e">
        <f>SUM(G23:G33)</f>
        <v>#DIV/0!</v>
      </c>
      <c r="H35" s="2" t="e">
        <f>SUM(H23:H33)</f>
        <v>#DIV/0!</v>
      </c>
    </row>
    <row r="36" spans="1:8">
      <c r="A36" s="3" t="s">
        <v>4</v>
      </c>
      <c r="B36" s="2"/>
      <c r="C36" s="2"/>
      <c r="D36" s="2"/>
    </row>
    <row r="37" spans="1:8">
      <c r="D37" s="11"/>
    </row>
    <row r="38" spans="1:8">
      <c r="C38" s="48" t="s">
        <v>15</v>
      </c>
      <c r="D38" s="49" t="e">
        <f>IRR(D23:D30, 0.2)</f>
        <v>#VALUE!</v>
      </c>
    </row>
    <row r="39" spans="1:8">
      <c r="C39" s="50" t="s">
        <v>32</v>
      </c>
      <c r="D39" s="97" t="e">
        <f>IF(F25&gt;0,A25-A24-F24/E25,IF(F26&gt;0,A26-A24-F25/E26,IF(F27&gt;0,A27-A24-F26/E27,IF(F28&gt;0,A28-A24-F27/E28,IF(F29&gt;0,A29-A24-F28/E29,IF(F30&gt;0,A30-A24-F29/E30,IF(F31&gt;0,A31-A24-F30/E31,IF(F32&gt;0,A32-A24-F31/E32,IF(F33&gt;0,A33-A24-F32/E33,"Over 10 years")))))))))</f>
        <v>#DIV/0!</v>
      </c>
    </row>
    <row r="40" spans="1:8">
      <c r="D40" s="96" t="e">
        <f>IF(D39&lt;='Retrofit Calculator'!C38,'Cash Flow'!D39,"Longer than expected retrofit lifetime")</f>
        <v>#DIV/0!</v>
      </c>
    </row>
  </sheetData>
  <mergeCells count="1"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320C-5C9F-3745-B4C3-4ACBB5CAFFDB}">
  <dimension ref="A2:F32"/>
  <sheetViews>
    <sheetView topLeftCell="A21" zoomScale="176" workbookViewId="0">
      <selection activeCell="D19" sqref="D19"/>
    </sheetView>
  </sheetViews>
  <sheetFormatPr defaultColWidth="11.46484375" defaultRowHeight="12.75"/>
  <cols>
    <col min="1" max="1" width="19.33203125" bestFit="1" customWidth="1"/>
    <col min="2" max="3" width="19.33203125" customWidth="1"/>
    <col min="4" max="4" width="27.1328125" bestFit="1" customWidth="1"/>
    <col min="5" max="5" width="19.46484375" bestFit="1" customWidth="1"/>
    <col min="6" max="6" width="19.33203125" customWidth="1"/>
  </cols>
  <sheetData>
    <row r="2" spans="1:6">
      <c r="A2" s="84" t="s">
        <v>73</v>
      </c>
      <c r="B2" s="85">
        <v>160</v>
      </c>
    </row>
    <row r="3" spans="1:6">
      <c r="B3" s="85">
        <v>40</v>
      </c>
    </row>
    <row r="5" spans="1:6" ht="13.15">
      <c r="A5" s="89" t="s">
        <v>74</v>
      </c>
      <c r="B5" s="90">
        <v>160</v>
      </c>
    </row>
    <row r="6" spans="1:6">
      <c r="A6" s="1"/>
      <c r="B6" s="1"/>
    </row>
    <row r="7" spans="1:6" ht="13.15">
      <c r="A7" s="94" t="s">
        <v>56</v>
      </c>
    </row>
    <row r="8" spans="1:6">
      <c r="A8" s="88" t="s">
        <v>51</v>
      </c>
      <c r="B8" s="88" t="s">
        <v>77</v>
      </c>
      <c r="C8" s="88" t="s">
        <v>78</v>
      </c>
      <c r="D8" s="88" t="s">
        <v>80</v>
      </c>
      <c r="E8" s="88" t="s">
        <v>60</v>
      </c>
      <c r="F8" s="88" t="s">
        <v>79</v>
      </c>
    </row>
    <row r="9" spans="1:6">
      <c r="A9" s="84" t="s">
        <v>52</v>
      </c>
      <c r="B9" s="85">
        <v>66</v>
      </c>
      <c r="C9" s="85">
        <v>26.61</v>
      </c>
      <c r="D9" s="85"/>
      <c r="E9" s="85">
        <v>1157</v>
      </c>
      <c r="F9" s="85">
        <f>B9*C9+E9</f>
        <v>2913.26</v>
      </c>
    </row>
    <row r="10" spans="1:6">
      <c r="A10" s="84" t="s">
        <v>53</v>
      </c>
      <c r="B10" s="85">
        <v>95</v>
      </c>
      <c r="C10" s="85">
        <v>30.18</v>
      </c>
      <c r="D10" s="85">
        <v>17.53</v>
      </c>
      <c r="E10" s="85">
        <v>1665</v>
      </c>
      <c r="F10" s="85">
        <f>B10*C10+B10*D10+E10</f>
        <v>6197.45</v>
      </c>
    </row>
    <row r="11" spans="1:6">
      <c r="A11" s="84" t="s">
        <v>54</v>
      </c>
      <c r="B11" s="85">
        <v>113</v>
      </c>
      <c r="C11" s="85">
        <v>30.9</v>
      </c>
      <c r="D11" s="85">
        <v>17.53</v>
      </c>
      <c r="E11" s="85">
        <v>1981</v>
      </c>
      <c r="F11" s="85">
        <f>B11*C11+B11*D11+E11</f>
        <v>7453.59</v>
      </c>
    </row>
    <row r="12" spans="1:6" ht="13.15">
      <c r="E12" s="86" t="s">
        <v>55</v>
      </c>
      <c r="F12" s="87">
        <f>SUM(F9:F11)/3</f>
        <v>5521.4333333333334</v>
      </c>
    </row>
    <row r="14" spans="1:6" ht="13.15">
      <c r="A14" s="94" t="s">
        <v>57</v>
      </c>
    </row>
    <row r="15" spans="1:6">
      <c r="A15" s="88" t="s">
        <v>58</v>
      </c>
      <c r="B15" s="88" t="s">
        <v>59</v>
      </c>
      <c r="C15" s="88" t="s">
        <v>79</v>
      </c>
    </row>
    <row r="16" spans="1:6">
      <c r="A16" s="85">
        <v>8</v>
      </c>
      <c r="B16" s="85">
        <v>80</v>
      </c>
      <c r="C16" s="85">
        <f>A16*B16</f>
        <v>640</v>
      </c>
    </row>
    <row r="21" spans="1:6" ht="13.15">
      <c r="A21" s="89" t="s">
        <v>75</v>
      </c>
      <c r="B21" s="90">
        <v>40</v>
      </c>
    </row>
    <row r="23" spans="1:6" ht="13.15">
      <c r="A23" s="94" t="s">
        <v>56</v>
      </c>
    </row>
    <row r="24" spans="1:6">
      <c r="A24" s="88" t="s">
        <v>51</v>
      </c>
      <c r="B24" s="88" t="s">
        <v>77</v>
      </c>
      <c r="C24" s="88" t="s">
        <v>78</v>
      </c>
      <c r="D24" s="88" t="s">
        <v>80</v>
      </c>
      <c r="E24" s="88" t="s">
        <v>60</v>
      </c>
      <c r="F24" s="88" t="s">
        <v>79</v>
      </c>
    </row>
    <row r="25" spans="1:6">
      <c r="A25" s="84" t="s">
        <v>52</v>
      </c>
      <c r="B25" s="85">
        <v>32</v>
      </c>
      <c r="C25" s="85">
        <v>26.61</v>
      </c>
      <c r="D25" s="85"/>
      <c r="E25" s="85">
        <v>561</v>
      </c>
      <c r="F25" s="85">
        <f>B25*C25+E25</f>
        <v>1412.52</v>
      </c>
    </row>
    <row r="26" spans="1:6">
      <c r="A26" s="84" t="s">
        <v>53</v>
      </c>
      <c r="B26" s="85">
        <v>47</v>
      </c>
      <c r="C26" s="85">
        <v>30.18</v>
      </c>
      <c r="D26" s="85">
        <v>17.53</v>
      </c>
      <c r="E26" s="85">
        <v>824</v>
      </c>
      <c r="F26" s="85">
        <f>B26*C26+B26*D26+E26</f>
        <v>3066.37</v>
      </c>
    </row>
    <row r="27" spans="1:6">
      <c r="A27" s="84" t="s">
        <v>54</v>
      </c>
      <c r="B27" s="85">
        <v>49</v>
      </c>
      <c r="C27" s="85">
        <v>30.9</v>
      </c>
      <c r="D27" s="85">
        <v>17.53</v>
      </c>
      <c r="E27" s="85">
        <v>906</v>
      </c>
      <c r="F27" s="85">
        <f>B27*C27+B27*D27+E27</f>
        <v>3279.0699999999997</v>
      </c>
    </row>
    <row r="28" spans="1:6" ht="13.15">
      <c r="E28" s="86" t="s">
        <v>55</v>
      </c>
      <c r="F28" s="87">
        <f>SUM(F25:F27)/3</f>
        <v>2585.9866666666662</v>
      </c>
    </row>
    <row r="30" spans="1:6" ht="13.15">
      <c r="A30" s="94" t="s">
        <v>57</v>
      </c>
    </row>
    <row r="31" spans="1:6">
      <c r="A31" s="88" t="s">
        <v>58</v>
      </c>
      <c r="B31" s="88" t="s">
        <v>59</v>
      </c>
      <c r="C31" s="88" t="s">
        <v>79</v>
      </c>
    </row>
    <row r="32" spans="1:6">
      <c r="A32" s="85">
        <v>4</v>
      </c>
      <c r="B32" s="85">
        <v>80</v>
      </c>
      <c r="C32" s="85">
        <f>A32*B32</f>
        <v>320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Retrofit Calculator</vt:lpstr>
      <vt:lpstr>Cost of Production</vt:lpstr>
      <vt:lpstr>Cash Flow</vt:lpstr>
      <vt:lpstr>Retrofit Costs</vt:lpstr>
      <vt:lpstr>'Cost of Production'!Print_Area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Cassida</dc:creator>
  <cp:lastModifiedBy>Sears, Molly</cp:lastModifiedBy>
  <cp:lastPrinted>2004-04-06T19:36:14Z</cp:lastPrinted>
  <dcterms:created xsi:type="dcterms:W3CDTF">2004-01-26T20:40:39Z</dcterms:created>
  <dcterms:modified xsi:type="dcterms:W3CDTF">2025-05-21T16:41:25Z</dcterms:modified>
</cp:coreProperties>
</file>