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vbaProject.bin" ContentType="application/vnd.ms-office.vbaProject"/>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trlProps/ctrlProp1.xml" ContentType="application/vnd.ms-excel.controlproperties+xml"/>
  <Override PartName="/docProps/app.xml" ContentType="application/vnd.openxmlformats-officedocument.extended-properties+xml"/>
  <Override PartName="/xl/calcChain.xml" ContentType="application/vnd.openxmlformats-officedocument.spreadsheetml.calcChain+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S:\ITS\ANR ESP\Active Projects\Composting\"/>
    </mc:Choice>
  </mc:AlternateContent>
  <bookViews>
    <workbookView xWindow="0" yWindow="0" windowWidth="24000" windowHeight="8775" activeTab="1"/>
  </bookViews>
  <sheets>
    <sheet name="Instructions" sheetId="20" r:id="rId1"/>
    <sheet name="System Planner" sheetId="11" r:id="rId2"/>
    <sheet name="Hidden" sheetId="19" state="hidden" r:id="rId3"/>
    <sheet name="Documentation" sheetId="23" state="hidden" r:id="rId4"/>
  </sheets>
  <definedNames>
    <definedName name="animalProductionTissuePerDay">'System Planner'!$F$74</definedName>
    <definedName name="animalTissuePerWk">'System Planner'!$F$73</definedName>
    <definedName name="binBatchDuration">'System Planner'!$F$79</definedName>
    <definedName name="BinCompoostingDuration">'System Planner'!$F$83</definedName>
    <definedName name="binEfffectiveVolume">'System Planner'!$Q$81</definedName>
    <definedName name="BinHeight">'System Planner'!$F$82</definedName>
    <definedName name="BinLength">'System Planner'!$F$80</definedName>
    <definedName name="BinNumStorageBins">'System Planner'!$F$84</definedName>
    <definedName name="binsConstructionVolume">'System Planner'!$Q$82</definedName>
    <definedName name="binsFloorArea">'System Planner'!$F$90</definedName>
    <definedName name="binsPctOverUnderCapacity">'System Planner'!$Q$85</definedName>
    <definedName name="binsTotalBinsNeeded">'System Planner'!$F$88</definedName>
    <definedName name="binsTotalMortality">'System Planner'!$Q$79</definedName>
    <definedName name="binsTotalVolume">'System Planner'!$F$89</definedName>
    <definedName name="binsTotalVolumeNeeded">'System Planner'!$Q$80</definedName>
    <definedName name="BinWidth">'System Planner'!$F$81</definedName>
    <definedName name="calcedNumBinsMin3">'System Planner'!$Q$84</definedName>
    <definedName name="calcedNumBinsNeeded">'System Planner'!$Q$83</definedName>
    <definedName name="calcedNumOverlapPiles">'System Planner'!$Q$126</definedName>
    <definedName name="calcedNumOverlapPilesMin3">'System Planner'!$Q$127</definedName>
    <definedName name="calcedNumPiles">'System Planner'!$Q$111</definedName>
    <definedName name="calcedNumPilesMin3">'System Planner'!$Q$112</definedName>
    <definedName name="calcedNumWindrows">'System Planner'!$Q$96</definedName>
    <definedName name="calcedNumWindrowsMin3">'System Planner'!$Q$97</definedName>
    <definedName name="compostHeight">'System Planner'!$F$97</definedName>
    <definedName name="compostingDuration">'System Planner'!$F$98</definedName>
    <definedName name="CompostingSystem">Hidden!$D$21</definedName>
    <definedName name="DaysPerMonth">'System Planner'!$P$8</definedName>
    <definedName name="EmergencyCompostingSystem">Hidden!$D$28</definedName>
    <definedName name="MortalityPerDay">'System Planner'!$P$7</definedName>
    <definedName name="numBinsNeeded">'System Planner'!$F$87</definedName>
    <definedName name="numOverlapPilesNeeded">'System Planner'!$F$132</definedName>
    <definedName name="numPilesNeeded">'System Planner'!$F$117</definedName>
    <definedName name="numWindrowsNeeded">'System Planner'!$F$102</definedName>
    <definedName name="overlapPilesApronArea">'System Planner'!$F$133</definedName>
    <definedName name="overlapPilesApronWidth">'System Planner'!$F$129</definedName>
    <definedName name="overlapPilesCompostTime">'System Planner'!$F$128</definedName>
    <definedName name="overlapPilesEffectiveVolume">'System Planner'!$Q$125</definedName>
    <definedName name="overlapPilesFormTime">'System Planner'!$F$124</definedName>
    <definedName name="overlapPilesHeight">'System Planner'!$F$127</definedName>
    <definedName name="overlapPilesLength">'System Planner'!$F$125</definedName>
    <definedName name="overlapPilesOverUnderCapacity">'System Planner'!$Q$128</definedName>
    <definedName name="overlapPilesTotalMortality">'System Planner'!$Q$123</definedName>
    <definedName name="overlapPilesVolumeNeeded">'System Planner'!$Q$124</definedName>
    <definedName name="overlapPilesWidth">'System Planner'!$F$126</definedName>
    <definedName name="pileApronWidth">'System Planner'!$F$114</definedName>
    <definedName name="pileCompostingDuration">'System Planner'!$F$113</definedName>
    <definedName name="pileConstructionVolume">'System Planner'!$Q$109</definedName>
    <definedName name="pileEffectiveVolume">'System Planner'!$Q$110</definedName>
    <definedName name="pileHeight">'System Planner'!$F$112</definedName>
    <definedName name="pileLength">'System Planner'!$F$110</definedName>
    <definedName name="pilesApronArea">'System Planner'!$F$118</definedName>
    <definedName name="pilesEffectiveVolume">'System Planner'!$F$119</definedName>
    <definedName name="PilesFillTime">'System Planner'!$F$109</definedName>
    <definedName name="pilesOverUnderCapacity">'System Planner'!$Q$113</definedName>
    <definedName name="pilesPadArea">'System Planner'!$F$120</definedName>
    <definedName name="pileTotalMortalityPerMonth">'System Planner'!$Q$108</definedName>
    <definedName name="pileWidth">'System Planner'!$F$111</definedName>
    <definedName name="Producer2Type">Hidden!$D$23</definedName>
    <definedName name="Producer3Type">Hidden!$D$24</definedName>
    <definedName name="ProducerType">Hidden!$D$22</definedName>
    <definedName name="SwineRows">'System Planner'!$13:$25</definedName>
    <definedName name="TargetTissueDensity">'System Planner'!$E$11</definedName>
    <definedName name="totalMortality">'System Planner'!$Q$93</definedName>
    <definedName name="useBovineMortality">Hidden!$D$32</definedName>
    <definedName name="useEquineMortality">Hidden!$D$34</definedName>
    <definedName name="usePoultryMortality">Hidden!$D$33</definedName>
    <definedName name="useSmallRuminantMortality">Hidden!$D$35</definedName>
    <definedName name="UseSwineMortality">Hidden!$D$31</definedName>
    <definedName name="windrowApronWidth">'System Planner'!$F$99</definedName>
    <definedName name="windrowEffectiveVolume">'System Planner'!$Q$95</definedName>
    <definedName name="windrowFormationTime">'System Planner'!$F$94</definedName>
    <definedName name="windrowLength">'System Planner'!$F$95</definedName>
    <definedName name="windrowPctOfCapacity">'System Planner'!$Q$98</definedName>
    <definedName name="windrowsApronArea">'System Planner'!$F$103</definedName>
    <definedName name="windrowsEffectiveVolume">'System Planner'!$F$104</definedName>
    <definedName name="windrowsPadArea">'System Planner'!$F$105</definedName>
    <definedName name="windrowsVolumeNeeded">'System Planner'!$Q$94</definedName>
    <definedName name="windrowWidth">'System Planner'!$F$96</definedName>
  </definedNames>
  <calcPr calcId="152511"/>
</workbook>
</file>

<file path=xl/calcChain.xml><?xml version="1.0" encoding="utf-8"?>
<calcChain xmlns="http://schemas.openxmlformats.org/spreadsheetml/2006/main">
  <c r="G44" i="11" l="1"/>
  <c r="G66" i="11" l="1"/>
  <c r="F66" i="11"/>
  <c r="H55" i="11"/>
  <c r="G55" i="11"/>
  <c r="F55" i="11"/>
  <c r="I33" i="11"/>
  <c r="H33" i="11"/>
  <c r="G33" i="11"/>
  <c r="F33" i="11"/>
  <c r="F22" i="11" l="1"/>
  <c r="I22" i="11"/>
  <c r="H22" i="11"/>
  <c r="G22" i="11"/>
  <c r="J22" i="11"/>
  <c r="F44" i="11" l="1"/>
  <c r="F45" i="11" l="1"/>
  <c r="F74" i="11"/>
  <c r="Q125" i="11"/>
  <c r="Q110" i="11"/>
  <c r="H111" i="11" s="1"/>
  <c r="Q82" i="11"/>
  <c r="H82" i="11" s="1"/>
  <c r="Q95" i="11"/>
  <c r="H96" i="11" s="1"/>
  <c r="Q81" i="11" l="1"/>
  <c r="H81" i="11" s="1"/>
  <c r="H126" i="11" l="1"/>
  <c r="G11" i="11"/>
  <c r="P8" i="11"/>
  <c r="F56" i="11" l="1"/>
  <c r="F67" i="11"/>
  <c r="F34" i="11"/>
  <c r="F23" i="11"/>
  <c r="P4" i="11" l="1"/>
  <c r="P5" i="11"/>
  <c r="P6" i="11"/>
  <c r="P7" i="11" l="1"/>
  <c r="Q79" i="11" s="1"/>
  <c r="H79" i="11" s="1"/>
  <c r="Q123" i="11" l="1"/>
  <c r="H124" i="11" s="1"/>
  <c r="Q80" i="11"/>
  <c r="Q83" i="11" s="1"/>
  <c r="Q84" i="11" s="1"/>
  <c r="F87" i="11" s="1"/>
  <c r="F88" i="11" s="1"/>
  <c r="F89" i="11" s="1"/>
  <c r="F90" i="11" s="1"/>
  <c r="Q108" i="11"/>
  <c r="H109" i="11" s="1"/>
  <c r="Q93" i="11"/>
  <c r="H94" i="11" s="1"/>
  <c r="H84" i="11" l="1"/>
  <c r="H83" i="11"/>
  <c r="H80" i="11"/>
  <c r="Q85" i="11"/>
  <c r="O88" i="11" s="1"/>
  <c r="Q111" i="11"/>
  <c r="Q112" i="11" s="1"/>
  <c r="F117" i="11" s="1"/>
  <c r="F118" i="11" s="1"/>
  <c r="Q109" i="11"/>
  <c r="Q113" i="11" s="1"/>
  <c r="O118" i="11" s="1"/>
  <c r="Q124" i="11"/>
  <c r="Q128" i="11" s="1"/>
  <c r="O135" i="11" s="1"/>
  <c r="Q94" i="11"/>
  <c r="H95" i="11" s="1"/>
  <c r="Q126" i="11"/>
  <c r="V133" i="11" l="1"/>
  <c r="H134" i="11" s="1"/>
  <c r="Q96" i="11"/>
  <c r="Q97" i="11" s="1"/>
  <c r="F102" i="11" s="1"/>
  <c r="F104" i="11" s="1"/>
  <c r="Q98" i="11"/>
  <c r="O103" i="11" s="1"/>
  <c r="O120" i="11"/>
  <c r="H117" i="11" s="1"/>
  <c r="F120" i="11"/>
  <c r="F119" i="11"/>
  <c r="Q127" i="11"/>
  <c r="F132" i="11" s="1"/>
  <c r="F133" i="11" s="1"/>
  <c r="O90" i="11"/>
  <c r="H87" i="11" s="1"/>
  <c r="H110" i="11"/>
  <c r="H125" i="11"/>
  <c r="O133" i="11"/>
  <c r="H132" i="11" s="1"/>
  <c r="F103" i="11" l="1"/>
  <c r="F105" i="11" s="1"/>
  <c r="O105" i="11"/>
  <c r="H102" i="11" s="1"/>
  <c r="F134" i="11"/>
  <c r="F135" i="11"/>
</calcChain>
</file>

<file path=xl/comments1.xml><?xml version="1.0" encoding="utf-8"?>
<comments xmlns="http://schemas.openxmlformats.org/spreadsheetml/2006/main">
  <authors>
    <author>Dale W Rozeboom</author>
    <author>Dale</author>
    <author>Robert Kriegel</author>
    <author>Dale Rozeboom</author>
    <author>Kriegel, Robert</author>
    <author>Dale W. Rozeboom</author>
  </authors>
  <commentList>
    <comment ref="D11" authorId="0" shapeId="0">
      <text>
        <r>
          <rPr>
            <sz val="8"/>
            <color indexed="81"/>
            <rFont val="Tahoma"/>
            <family val="2"/>
          </rPr>
          <t>Also known as "volume factor" or "volume coefficient" or the "bulking agent to mortality ratio". This is the most important factor in determining composting volume. This density has been determined through experimentation and animal tissue composting has been successfully accomplished using densities varying from 0.05 to 15.  However, when greater than 10 lb/ft3 intensive aeration and moisture management is necessary.</t>
        </r>
      </text>
    </comment>
    <comment ref="E16" authorId="1" shapeId="0">
      <text>
        <r>
          <rPr>
            <sz val="9"/>
            <color indexed="81"/>
            <rFont val="Tahoma"/>
            <family val="2"/>
          </rPr>
          <t>Enter the total number of farrowing crates used in the operation, from which mortality will be composted.</t>
        </r>
      </text>
    </comment>
    <comment ref="E17" authorId="1" shapeId="0">
      <text>
        <r>
          <rPr>
            <sz val="9"/>
            <color indexed="81"/>
            <rFont val="Tahoma"/>
            <family val="2"/>
          </rPr>
          <t>Enter the an average value for total number of  pigs born per litter (including stillbirths).</t>
        </r>
      </text>
    </comment>
    <comment ref="E18" authorId="0" shapeId="0">
      <text>
        <r>
          <rPr>
            <sz val="9"/>
            <color indexed="81"/>
            <rFont val="Tahoma"/>
            <family val="2"/>
          </rPr>
          <t xml:space="preserve">Enter total number of animals in this phase of production during one turn, which is the total number of days the animals are kept from arrival to final departure.  Most adult animals are kept for the full year or 365 days.  Growing animals may only be kept for part of the year.
</t>
        </r>
        <r>
          <rPr>
            <i/>
            <sz val="9"/>
            <color indexed="81"/>
            <rFont val="Tahoma"/>
            <family val="2"/>
          </rPr>
          <t>Breeding Herd</t>
        </r>
        <r>
          <rPr>
            <sz val="9"/>
            <color indexed="81"/>
            <rFont val="Tahoma"/>
            <family val="2"/>
          </rPr>
          <t xml:space="preserve">: Total number of sows and boars in this operation during a year would include those in gestation, lactation, and breeding phases of production.  For example if there are 258 sows in lactation, 120 females and 22 boars in breeding, and 2000 females in gestation, then the total number in the breeding herd per year is equal to 2400.
</t>
        </r>
        <r>
          <rPr>
            <i/>
            <sz val="9"/>
            <color indexed="81"/>
            <rFont val="Tahoma"/>
            <family val="2"/>
          </rPr>
          <t>Nursery, Wean-Finish, or Grow-Finish</t>
        </r>
        <r>
          <rPr>
            <sz val="9"/>
            <color indexed="81"/>
            <rFont val="Tahoma"/>
            <family val="2"/>
          </rPr>
          <t>: Total number of animals in these phases would be equal to the number per unit (room or building) and number of units (room or building).  For example if a nursery had 8 rooms with 500 head per room, then the total number per nursery turn would be 4000</t>
        </r>
      </text>
    </comment>
    <comment ref="E19" authorId="1" shapeId="0">
      <text>
        <r>
          <rPr>
            <i/>
            <sz val="9"/>
            <color indexed="81"/>
            <rFont val="Tahoma"/>
            <family val="2"/>
          </rPr>
          <t>Piglet Preweaning</t>
        </r>
        <r>
          <rPr>
            <sz val="9"/>
            <color indexed="81"/>
            <rFont val="Tahoma"/>
            <family val="2"/>
          </rPr>
          <t xml:space="preserve">: Enter the number of days that a crate is used per litter, including the days the sow is in the crate prior to farrowing, the duration of lactation, and days for cleaning the crate (typically 14 to 28 days). 
</t>
        </r>
        <r>
          <rPr>
            <i/>
            <sz val="9"/>
            <color indexed="81"/>
            <rFont val="Tahoma"/>
            <family val="2"/>
          </rPr>
          <t>Breeding Herd</t>
        </r>
        <r>
          <rPr>
            <sz val="9"/>
            <color indexed="81"/>
            <rFont val="Tahoma"/>
            <family val="2"/>
          </rPr>
          <t xml:space="preserve">: Buildings are usually never emptied and the number of animals remains constant for the entire year, so enter 365 here.
</t>
        </r>
        <r>
          <rPr>
            <i/>
            <sz val="9"/>
            <color indexed="81"/>
            <rFont val="Tahoma"/>
            <family val="2"/>
          </rPr>
          <t>Nursery, Wean-Finish, and Grow-Finish</t>
        </r>
        <r>
          <rPr>
            <sz val="9"/>
            <color indexed="81"/>
            <rFont val="Tahoma"/>
            <family val="2"/>
          </rPr>
          <t>: Typical turns are 35 to 56 days, 160 to 190, and 100 to 130 days, respectively.</t>
        </r>
      </text>
    </comment>
    <comment ref="E20" authorId="2" shapeId="0">
      <text>
        <r>
          <rPr>
            <sz val="9"/>
            <color indexed="81"/>
            <rFont val="Tahoma"/>
            <family val="2"/>
          </rPr>
          <t>Input percent mortality as a percent from 0 to 100.</t>
        </r>
      </text>
    </comment>
    <comment ref="E29" authorId="0" shapeId="0">
      <text>
        <r>
          <rPr>
            <sz val="8"/>
            <color indexed="81"/>
            <rFont val="Tahoma"/>
            <family val="2"/>
          </rPr>
          <t>Enter total number of animals in this phase of production. In some instances, calves, heifers, and feeder cattle in a common stage of production may be kept in multiple facilities. It is easiest to just add these and enter in one column. Total number per phase of production should be entered here. Example: three heifer buildings housing 100 head each would be a capacity of 300.</t>
        </r>
      </text>
    </comment>
    <comment ref="E30" authorId="1" shapeId="0">
      <text>
        <r>
          <rPr>
            <sz val="9"/>
            <color indexed="81"/>
            <rFont val="Tahoma"/>
            <family val="2"/>
          </rPr>
          <t>Enter the number of days that animals occupy facilities associated with this phase of production. This is the total number of days the animals are kept from arrival to final departure.  Most adult animals are kept for the full year or 365 days.  For cows, this includes lactating and dry cows. Growing animals may only be kept for part of the year.</t>
        </r>
      </text>
    </comment>
    <comment ref="E31" authorId="2" shapeId="0">
      <text>
        <r>
          <rPr>
            <sz val="8"/>
            <color indexed="81"/>
            <rFont val="Tahoma"/>
            <family val="2"/>
          </rPr>
          <t>Input percent mortality as a percent from 0 to 100.</t>
        </r>
      </text>
    </comment>
    <comment ref="E32" authorId="1" shapeId="0">
      <text>
        <r>
          <rPr>
            <sz val="9"/>
            <color indexed="81"/>
            <rFont val="Tahoma"/>
            <family val="2"/>
          </rPr>
          <t>Average weight of animal during production phase in pounds is essentially the average weight of mortality in this phase of production.</t>
        </r>
      </text>
    </comment>
    <comment ref="E40" authorId="0" shapeId="0">
      <text>
        <r>
          <rPr>
            <sz val="8"/>
            <color indexed="81"/>
            <rFont val="Tahoma"/>
            <family val="2"/>
          </rPr>
          <t>Enter total number of animals in this phase of production. In some instances, calves, heifers, and feeder cattle in a common stage of production may be kept in multiple facilities. It is easiest to just add these and enter in one column. Total number per phase of production should be entered here. Example: three heifer buildings housing 100 head each would be a capacity of 300.</t>
        </r>
      </text>
    </comment>
    <comment ref="E41" authorId="1" shapeId="0">
      <text>
        <r>
          <rPr>
            <sz val="9"/>
            <color indexed="81"/>
            <rFont val="Tahoma"/>
            <family val="2"/>
          </rPr>
          <t>Enter the number of days that animals occupy facilities associated with this phase of production. This is the total number of days the animals are kept from arrival to final departure.  Most adult animals are kept for the full year or 365 days.  For cows, this includes lactating and dry cows. Growing animals may only be kept for part of the year.</t>
        </r>
      </text>
    </comment>
    <comment ref="E42" authorId="2" shapeId="0">
      <text>
        <r>
          <rPr>
            <sz val="8"/>
            <color indexed="81"/>
            <rFont val="Tahoma"/>
            <family val="2"/>
          </rPr>
          <t>Input percent mortality as a percent from 0 to 100.</t>
        </r>
      </text>
    </comment>
    <comment ref="E43" authorId="1" shapeId="0">
      <text>
        <r>
          <rPr>
            <sz val="9"/>
            <color indexed="81"/>
            <rFont val="Tahoma"/>
            <family val="2"/>
          </rPr>
          <t>Average weight of animal during production phase in pounds is essentially the average weight of mortality in this phase of production.</t>
        </r>
      </text>
    </comment>
    <comment ref="E51" authorId="1" shapeId="0">
      <text>
        <r>
          <rPr>
            <sz val="9"/>
            <color indexed="81"/>
            <rFont val="Tahoma"/>
            <family val="2"/>
          </rPr>
          <t xml:space="preserve">Enter total number of birds in this phase of production for the duration designated below.  </t>
        </r>
      </text>
    </comment>
    <comment ref="E52" authorId="1" shapeId="0">
      <text>
        <r>
          <rPr>
            <sz val="9"/>
            <color indexed="81"/>
            <rFont val="Tahoma"/>
            <family val="2"/>
          </rPr>
          <t>Enter the number of days birds are housed and cared for in this  phase of production.</t>
        </r>
      </text>
    </comment>
    <comment ref="E53" authorId="2" shapeId="0">
      <text>
        <r>
          <rPr>
            <sz val="8"/>
            <color indexed="81"/>
            <rFont val="Tahoma"/>
            <family val="2"/>
          </rPr>
          <t>Input percent mortality as a percent from 0 to 100.</t>
        </r>
      </text>
    </comment>
    <comment ref="E54" authorId="1" shapeId="0">
      <text>
        <r>
          <rPr>
            <sz val="9"/>
            <color indexed="81"/>
            <rFont val="Tahoma"/>
            <family val="2"/>
          </rPr>
          <t>Average weight of animal during production phase in pounds is essentially the average weight of mortality in this phase of production.</t>
        </r>
      </text>
    </comment>
    <comment ref="E62" authorId="1" shapeId="0">
      <text>
        <r>
          <rPr>
            <sz val="9"/>
            <color indexed="81"/>
            <rFont val="Tahoma"/>
            <family val="2"/>
          </rPr>
          <t>Enter total number of animals in this phase of production.</t>
        </r>
      </text>
    </comment>
    <comment ref="E63" authorId="1" shapeId="0">
      <text>
        <r>
          <rPr>
            <sz val="9"/>
            <color indexed="81"/>
            <rFont val="Tahoma"/>
            <family val="2"/>
          </rPr>
          <t>Enter the number of days horses are housed and cared for in this  phase of production.  Typically 365 days each year, but may be less if stabled elsewhere periodically. Growing animals may only be kept for part of the year.</t>
        </r>
      </text>
    </comment>
    <comment ref="E64" authorId="2" shapeId="0">
      <text>
        <r>
          <rPr>
            <sz val="8"/>
            <color indexed="81"/>
            <rFont val="Tahoma"/>
            <family val="2"/>
          </rPr>
          <t>Input percent mortality as a percent from 0 to 100.</t>
        </r>
      </text>
    </comment>
    <comment ref="E65" authorId="1" shapeId="0">
      <text>
        <r>
          <rPr>
            <sz val="9"/>
            <color indexed="81"/>
            <rFont val="Tahoma"/>
            <family val="2"/>
          </rPr>
          <t>Average weight of animal during production phase in pounds is essentially the average weight of mortality in this phase of production.</t>
        </r>
      </text>
    </comment>
    <comment ref="E73" authorId="0" shapeId="0">
      <text>
        <r>
          <rPr>
            <sz val="8"/>
            <color indexed="81"/>
            <rFont val="Tahoma"/>
            <family val="2"/>
          </rPr>
          <t>Typically, by-products are accumulated over a 5 or 6-day work week in 55 gallon barrels, which weigh about 300 to 450 lb each ( 5.5 to 8 lb/gal.).</t>
        </r>
      </text>
    </comment>
    <comment ref="E79" authorId="1" shapeId="0">
      <text>
        <r>
          <rPr>
            <sz val="9"/>
            <color indexed="81"/>
            <rFont val="Tahoma"/>
            <family val="2"/>
          </rPr>
          <t>Number of months for filling bin with a new batch. It is the period over which animal tissue will be added.  Commonly 1 month, but may be 0.25 to 2 months depending on daily mortality rate.</t>
        </r>
      </text>
    </comment>
    <comment ref="E80" authorId="1" shapeId="0">
      <text>
        <r>
          <rPr>
            <sz val="9"/>
            <color indexed="81"/>
            <rFont val="Tahoma"/>
            <family val="2"/>
          </rPr>
          <t xml:space="preserve">Length is from the front to the back of bin. The front is the open end. The back is the reinforced "push" wall.
It is recommended that compost remain inside the bin, so plan to keep about 4 inches of the floor at the front of the bin uncovered or clean during composting. 
Select bin dimensions so that "volume needed per desired time" is equal to or slightly greater than the "effective volume" of the bin. Enter bin dimensions by "trial and error." Generally, machinery operation is easier in bins that are wider rather than longer.  </t>
        </r>
      </text>
    </comment>
    <comment ref="E81" authorId="1" shapeId="0">
      <text>
        <r>
          <rPr>
            <sz val="9"/>
            <color indexed="81"/>
            <rFont val="Tahoma"/>
            <family val="2"/>
          </rPr>
          <t xml:space="preserve">Width is side to side.
Once again, select bin dimensions so that "volume needed per desired time" is equal to or slightly greater than the "effective volume" of the bin. Enter bin dimensions by "trial and error." Generally, machinery operation is easier in bins that are wider rather than longer.  </t>
        </r>
      </text>
    </comment>
    <comment ref="H81" authorId="1" shapeId="0">
      <text>
        <r>
          <rPr>
            <sz val="9"/>
            <color indexed="81"/>
            <rFont val="Tahoma"/>
            <family val="2"/>
          </rPr>
          <t>Effective volume of the bin is corrected for slope going up at 60° on the face or front of material in the bin.  The equation used is:
= (width*height*length) - (width* (tangent of 30º angle) *SQR(height)/2)</t>
        </r>
      </text>
    </comment>
    <comment ref="Q81" authorId="3" shapeId="0">
      <text>
        <r>
          <rPr>
            <sz val="8"/>
            <color indexed="81"/>
            <rFont val="Tahoma"/>
            <family val="2"/>
          </rPr>
          <t>Corrected for slope (going up at 60° on the face or front of material in the bin) = (width*height*length) - (width* ((tangent of 30</t>
        </r>
        <r>
          <rPr>
            <sz val="8"/>
            <color indexed="81"/>
            <rFont val="Arial"/>
            <family val="2"/>
          </rPr>
          <t>º</t>
        </r>
        <r>
          <rPr>
            <sz val="8"/>
            <color indexed="81"/>
            <rFont val="Tahoma"/>
            <family val="2"/>
          </rPr>
          <t xml:space="preserve"> angle*) *(height</t>
        </r>
        <r>
          <rPr>
            <vertAlign val="superscript"/>
            <sz val="8"/>
            <color indexed="81"/>
            <rFont val="Tahoma"/>
            <family val="2"/>
          </rPr>
          <t>2</t>
        </r>
        <r>
          <rPr>
            <sz val="8"/>
            <color indexed="81"/>
            <rFont val="Tahoma"/>
            <family val="2"/>
          </rPr>
          <t>/2))</t>
        </r>
      </text>
    </comment>
    <comment ref="E82" authorId="1" shapeId="0">
      <text>
        <r>
          <rPr>
            <sz val="9"/>
            <color indexed="81"/>
            <rFont val="Tahoma"/>
            <family val="2"/>
          </rPr>
          <t>Typically 4 to 6 feet deep.  Greater depths result in less air in the compost and slower decomposition.</t>
        </r>
      </text>
    </comment>
    <comment ref="E83" authorId="1" shapeId="0">
      <text>
        <r>
          <rPr>
            <sz val="9"/>
            <color indexed="81"/>
            <rFont val="Tahoma"/>
            <family val="2"/>
          </rPr>
          <t xml:space="preserve">Number of months after filling compost remains in bin.  See Table 1 in the Instructions Worksheet for suggestions on number of months to compost carcasses of varying sizes.  Typically 2 to 8 months are needed.  More time is required to decompose the tissues of mature animals than those of immature animals. With frequent aeration, the maitenance of adequate moisture, and a desirable C:N, composting will take less time and fewer bins would be needed. </t>
        </r>
      </text>
    </comment>
    <comment ref="E84" authorId="1" shapeId="0">
      <text>
        <r>
          <rPr>
            <sz val="9"/>
            <color indexed="81"/>
            <rFont val="Tahoma"/>
            <family val="2"/>
          </rPr>
          <t>Typically 1 bin is included within the composting system to store fresh bulking agent.</t>
        </r>
      </text>
    </comment>
    <comment ref="E87" authorId="4" shapeId="0">
      <text>
        <r>
          <rPr>
            <sz val="9"/>
            <color indexed="81"/>
            <rFont val="Tahoma"/>
            <family val="2"/>
          </rPr>
          <t>The program is set for a minimum of 3 bins.</t>
        </r>
      </text>
    </comment>
    <comment ref="E88" authorId="1" shapeId="0">
      <text>
        <r>
          <rPr>
            <sz val="9"/>
            <color indexed="81"/>
            <rFont val="Tahoma"/>
            <family val="2"/>
          </rPr>
          <t xml:space="preserve">The total number of bins is the sum of the numbers of composting and bulking agent bins needed per year.  </t>
        </r>
      </text>
    </comment>
    <comment ref="E89" authorId="1" shapeId="0">
      <text>
        <r>
          <rPr>
            <sz val="9"/>
            <color indexed="81"/>
            <rFont val="Tahoma"/>
            <family val="2"/>
          </rPr>
          <t>Sum of construction volume for all bins.
"Effective volume" is greater than "Construction volume" because we assume bins are only three-sided and that there is a sloped face on material along the open side of the bin.
Construction volume is the same as Total volume.</t>
        </r>
      </text>
    </comment>
    <comment ref="E90" authorId="1" shapeId="0">
      <text>
        <r>
          <rPr>
            <sz val="9"/>
            <color indexed="81"/>
            <rFont val="Tahoma"/>
            <family val="2"/>
          </rPr>
          <t>This is the total area of all bin floors.</t>
        </r>
      </text>
    </comment>
    <comment ref="E94" authorId="1" shapeId="0">
      <text>
        <r>
          <rPr>
            <sz val="9"/>
            <color indexed="81"/>
            <rFont val="Tahoma"/>
            <family val="2"/>
          </rPr>
          <t>Number of months for forming a new windrow or batch of compost. It is the period during which animal tissue will be added. Commonly 1 month, but may be 0.25 to 2 months depending on daily mortality rate.</t>
        </r>
      </text>
    </comment>
    <comment ref="E95" authorId="1" shapeId="0">
      <text>
        <r>
          <rPr>
            <sz val="9"/>
            <color indexed="81"/>
            <rFont val="Tahoma"/>
            <family val="2"/>
          </rPr>
          <t>Select windrow dimensions so that "volume needed per desired time" is equal to or slightly greater than the "effective volume" of the windrow.  Determine these by "trial and error."
For large carcasses the minimum length of the windrow cannot be less than base width.</t>
        </r>
      </text>
    </comment>
    <comment ref="E96" authorId="1" shapeId="0">
      <text>
        <r>
          <rPr>
            <sz val="9"/>
            <color indexed="81"/>
            <rFont val="Tahoma"/>
            <family val="2"/>
          </rPr>
          <t xml:space="preserve">Select windrow dimensions so that "volume needed per desired time" is equal to or slightly greater than the "effective volume" of the windrow.  Determine these by "trial and error."
Iowa State University research has suggested that typical base widths for large bovine carcasses laid spine-to-spine are 18 ft and initial windrow heights are typically about 0.5 of the windrow width. </t>
        </r>
      </text>
    </comment>
    <comment ref="H96" authorId="1" shapeId="0">
      <text>
        <r>
          <rPr>
            <sz val="9"/>
            <color indexed="81"/>
            <rFont val="Tahoma"/>
            <family val="2"/>
          </rPr>
          <t>The effective volume takes into consideration the desired shape of the material. The specific formula is:
=0.67*height*width*length</t>
        </r>
      </text>
    </comment>
    <comment ref="E97" authorId="1" shapeId="0">
      <text>
        <r>
          <rPr>
            <sz val="9"/>
            <color indexed="81"/>
            <rFont val="Tahoma"/>
            <family val="2"/>
          </rPr>
          <t xml:space="preserve">Initial windrow heights are typically about 0.5 of the windrow width. </t>
        </r>
      </text>
    </comment>
    <comment ref="E98" authorId="1" shapeId="0">
      <text>
        <r>
          <rPr>
            <sz val="9"/>
            <color indexed="81"/>
            <rFont val="Tahoma"/>
            <family val="2"/>
          </rPr>
          <t>Number of months a batch remains in a windrow. See Table 1 in the Instructions Worksheet for suggestions on number of months to compost carcasses of varying sizes.  Typically 2 to 8 months are needed.  More time is required to decompose the tissues of mature animals than those of immature animals. With frequent aeration, the maitenance of adequate moisture, and a desirable C:N, composting will take less time and fewer windrows would be needed.</t>
        </r>
      </text>
    </comment>
    <comment ref="E99" authorId="1" shapeId="0">
      <text>
        <r>
          <rPr>
            <sz val="9"/>
            <color indexed="81"/>
            <rFont val="Tahoma"/>
            <family val="2"/>
          </rPr>
          <t>This is the area around piles needed for pile formation and mixing using a bucket loader. Enter the linear distance from the edge of the compost material (where is meets the inside border of the apron) to outside border of apron.</t>
        </r>
      </text>
    </comment>
    <comment ref="E102" authorId="1" shapeId="0">
      <text>
        <r>
          <rPr>
            <sz val="9"/>
            <color indexed="81"/>
            <rFont val="Tahoma"/>
            <family val="2"/>
          </rPr>
          <t>The total number of windrows of this size needed per year.</t>
        </r>
      </text>
    </comment>
    <comment ref="E103" authorId="1" shapeId="0">
      <text>
        <r>
          <rPr>
            <sz val="9"/>
            <color indexed="81"/>
            <rFont val="Tahoma"/>
            <family val="2"/>
          </rPr>
          <t>Perimeter around windrow necessary for windrow formation and mixing using a bucket loader. Space depends on size of tractor and loader. Concrete buck walls facilitate mixing.
Less space may be needed with use of specialized turning equipment.
An open space equivalent to the size of one windrow may be needed to facilitate turning of existing windrows.</t>
        </r>
      </text>
    </comment>
    <comment ref="E104" authorId="1" shapeId="0">
      <text>
        <r>
          <rPr>
            <sz val="9"/>
            <color indexed="81"/>
            <rFont val="Tahoma"/>
            <family val="2"/>
          </rPr>
          <t>Sum of all windrows per year.</t>
        </r>
      </text>
    </comment>
    <comment ref="E109" authorId="1" shapeId="0">
      <text>
        <r>
          <rPr>
            <sz val="9"/>
            <color indexed="81"/>
            <rFont val="Tahoma"/>
            <family val="2"/>
          </rPr>
          <t>Number of months for forming a new pile or batch of compost. It is the period during which animal tissue will be added. Commonly 1 month, but may be 0.25 to 2 months depending on daily mortality rate.</t>
        </r>
      </text>
    </comment>
    <comment ref="E110" authorId="1" shapeId="0">
      <text>
        <r>
          <rPr>
            <sz val="9"/>
            <color indexed="81"/>
            <rFont val="Tahoma"/>
            <family val="2"/>
          </rPr>
          <t>Piles may vary in size depending on mortality rate in short periods of time. They may be located next to one another, with the bases of piles being in contact with one another. If piles overlap up to half of the pile height, then select “Overlapping Piles” as the type of system you wish to size. Piles or compost batches should remain distinct from one another for proper management. 
Select dimensions so that effective pile volume is equal to the volume needed to form a pile in the desired time period. 
Iowa State University research has suggested that typical base width for large bovine carcasses laid spine-to-spine is 18 ft and initial pile height is typically about 0.5 of the pile width. 
With pile composting of large carcasses the minimum length of the pile cannot be much less than base width.</t>
        </r>
      </text>
    </comment>
    <comment ref="E111" authorId="1" shapeId="0">
      <text>
        <r>
          <rPr>
            <sz val="9"/>
            <color indexed="81"/>
            <rFont val="Tahoma"/>
            <family val="2"/>
          </rPr>
          <t>Piles may vary in size depending on mortality rate in short periods of time. They may be located next to one another, with the bases of piles being in contact with one another. If piles overlap up to half of the pile height, then select “Overlapping Piles” as the type of system you wish to size. Piles or compost batches should remain distinct from one another for proper management. 
Select dimensions so that effective pile volume is equal to the volume needed to form a pile in the desired time period. 
Iowa State University research has suggested that typical base width for large bovine carcasses laid spine-to-spine is 18 ft and initial pile height is typically about 0.5 of the pile width. 
With pile composting of large carcasses the minimum length of the pile cannot be much less than base width.</t>
        </r>
      </text>
    </comment>
    <comment ref="H111" authorId="1" shapeId="0">
      <text>
        <r>
          <rPr>
            <sz val="9"/>
            <color indexed="81"/>
            <rFont val="Tahoma"/>
            <family val="2"/>
          </rPr>
          <t>The effective volume takes into consideration the desired shape of the material. The specific formula is:
=width*height * (0.67*length - hieght*(tangent of 30º angle))</t>
        </r>
      </text>
    </comment>
    <comment ref="E112" authorId="1" shapeId="0">
      <text>
        <r>
          <rPr>
            <sz val="9"/>
            <color indexed="81"/>
            <rFont val="Tahoma"/>
            <family val="2"/>
          </rPr>
          <t xml:space="preserve">Initial pile height is typically about 0.5 of the pile width. </t>
        </r>
      </text>
    </comment>
    <comment ref="E113" authorId="1" shapeId="0">
      <text>
        <r>
          <rPr>
            <sz val="9"/>
            <color indexed="81"/>
            <rFont val="Tahoma"/>
            <family val="2"/>
          </rPr>
          <t>Number of months a batch remains in a pile. See Table 1 in the Instructions Worksheet for suggestions on number of months to compost carcasses of varying sizes.  Typically 2 to 8 months are needed.  More time is required to decompose the tissues of mature animals than those of immature animals. With frequent aeration, the maitenance of adequate moisture, and a desirable C:N, composting will take less time and fewer piles would be needed.</t>
        </r>
      </text>
    </comment>
    <comment ref="E114" authorId="1" shapeId="0">
      <text>
        <r>
          <rPr>
            <sz val="9"/>
            <color indexed="81"/>
            <rFont val="Tahoma"/>
            <family val="2"/>
          </rPr>
          <t>This is the area around piles needed for pile formation and mixing using a bucket loader. Enter the linear distance from the edge of the compost material (where is meets the inside border of the apron) to outside border of apron.</t>
        </r>
      </text>
    </comment>
    <comment ref="E117" authorId="1" shapeId="0">
      <text>
        <r>
          <rPr>
            <sz val="9"/>
            <color indexed="81"/>
            <rFont val="Tahoma"/>
            <family val="2"/>
          </rPr>
          <t>The total number of piles of this size needed per year.</t>
        </r>
      </text>
    </comment>
    <comment ref="E118" authorId="1" shapeId="0">
      <text>
        <r>
          <rPr>
            <sz val="9"/>
            <color indexed="81"/>
            <rFont val="Tahoma"/>
            <family val="2"/>
          </rPr>
          <t>This is the apron around piles. It is needed for pile formation and mixing using a bucket loader.  Space depends on size of tractor and loader working space. Piles are presumed to be placed immediatly adjacent to one another in a row. A concrete buck wall a minimum of 2 ft. in height is suggested to facilitate moving and mixing of material.</t>
        </r>
      </text>
    </comment>
    <comment ref="E119" authorId="1" shapeId="0">
      <text>
        <r>
          <rPr>
            <sz val="9"/>
            <color indexed="81"/>
            <rFont val="Tahoma"/>
            <family val="2"/>
          </rPr>
          <t>Sum of all piles needed per year. The effective volume takes into consideration the desired shape of the material. The specific formula is: 
=length*(total number of piles needed)</t>
        </r>
      </text>
    </comment>
    <comment ref="E124" authorId="1" shapeId="0">
      <text>
        <r>
          <rPr>
            <sz val="9"/>
            <color indexed="81"/>
            <rFont val="Tahoma"/>
            <family val="2"/>
          </rPr>
          <t>Number of months for forming a new pile or batch of compost. It is the period during which animal tissue will be added. Commonly 1 month, but may be 0.25 to 2 months depending on daily mortality rate.</t>
        </r>
      </text>
    </comment>
    <comment ref="E125" authorId="1" shapeId="0">
      <text>
        <r>
          <rPr>
            <sz val="9"/>
            <color indexed="81"/>
            <rFont val="Tahoma"/>
            <family val="2"/>
          </rPr>
          <t>Length is from the front to back of the pile, or from the outside to the push wall between the 2 rows of overlapping piles. The front is the open portion accessible by tractor/loader. The back is the reinforced "push" wall.
Piles butt-up to one another or overlap up to half of the pile height. Piles or compost batches should remain distinct from one another for proper management. Enter system dimensions by "trial and error" so that "volume needed per desired time" is equal to or slightly greater than the "effective volume" of the bin. With the composting of large carcasses in overlapping piles the minimum length of the pile is about 14 ft. This is 20% less than than the base width of 18 ft for 2 large bovine carcasses laid spine-to-spine (Iowa State University).</t>
        </r>
      </text>
    </comment>
    <comment ref="E126" authorId="1" shapeId="0">
      <text>
        <r>
          <rPr>
            <sz val="9"/>
            <color indexed="81"/>
            <rFont val="Tahoma"/>
            <family val="2"/>
          </rPr>
          <t>Width is measured from side to side or left to right (and vice versa).
Piles butt-up to one another or overlap up to half of the pile height. Piles or compost batches should remain distinct from one another for proper management. Enter system dimensions by "trial and error" so that "volume needed per desired time" is equal to or slightly greater than the "effective volume" of the bin.
Iowa State University research has suggested that typical base width for large bovine carcasses laid spine-to-spine is 18 ft.</t>
        </r>
      </text>
    </comment>
    <comment ref="H126" authorId="1" shapeId="0">
      <text>
        <r>
          <rPr>
            <sz val="9"/>
            <color indexed="81"/>
            <rFont val="Tahoma"/>
            <family val="2"/>
          </rPr>
          <t>The effective volume takes into consideration the desired shape of the material. The specific formula is: =width*height * (0.67*length - (tangent of 30º angle) * height/2)</t>
        </r>
      </text>
    </comment>
    <comment ref="E127" authorId="1" shapeId="0">
      <text>
        <r>
          <rPr>
            <sz val="9"/>
            <color indexed="81"/>
            <rFont val="Tahoma"/>
            <family val="2"/>
          </rPr>
          <t>Initial pile height is typically about 0.5 of the pile width.</t>
        </r>
      </text>
    </comment>
    <comment ref="E128" authorId="1" shapeId="0">
      <text>
        <r>
          <rPr>
            <sz val="9"/>
            <color indexed="81"/>
            <rFont val="Tahoma"/>
            <family val="2"/>
          </rPr>
          <t>Number of months a batch remains in an overlapping pile. See Table 1 in the Instructions Worksheet for suggestions on number of months to compost carcasses of varying sizes.  Typically 2 to 8 months are needed.  More time is required to decompose the tissues of mature animals than those of immature animals. With frequent aeration, the maitenance of adequate moisture, and a desirable C:N, composting will take less time and fewer piles would be needed.</t>
        </r>
      </text>
    </comment>
    <comment ref="E129" authorId="5" shapeId="0">
      <text>
        <r>
          <rPr>
            <sz val="9"/>
            <color indexed="81"/>
            <rFont val="Tahoma"/>
            <family val="2"/>
          </rPr>
          <t>This is the apron around piles. It is needed for pile formation and mixing using a bucket loader. Enter the linear distance in feet, from the edge of the compost material (where is meets the inside border of the apron) to outside border of apron. Space depends on size of tractor and loader working space. A concrete buck wall a minimum of 2 ft. in height is suggested to facilitate moving and mixing of material.</t>
        </r>
      </text>
    </comment>
    <comment ref="E132" authorId="1" shapeId="0">
      <text>
        <r>
          <rPr>
            <sz val="9"/>
            <color indexed="81"/>
            <rFont val="Tahoma"/>
            <family val="2"/>
          </rPr>
          <t>The total number of piles of this size needed per year.</t>
        </r>
      </text>
    </comment>
    <comment ref="E133" authorId="1" shapeId="0">
      <text>
        <r>
          <rPr>
            <sz val="9"/>
            <color indexed="81"/>
            <rFont val="Tahoma"/>
            <family val="2"/>
          </rPr>
          <t>This is the apron around piles. It is needed for pile formation and mixing using a bucket loader. Space depends on size of tractor and loader working space. A concrete buck wall a minimum of 2 ft. in height is suggested to facilitate moving and mixing of material.</t>
        </r>
      </text>
    </comment>
    <comment ref="E134" authorId="1" shapeId="0">
      <text>
        <r>
          <rPr>
            <sz val="9"/>
            <color indexed="81"/>
            <rFont val="Tahoma"/>
            <family val="2"/>
          </rPr>
          <t>The total effective volume takes into consideration the desired shape of the material. It is equal effective volume of the pile multiplied times the number of piles.
The specific formula is:  =width*height * (0.67*length - (tangent of 30º angle) * height/2)*(total number of overlapping piles)</t>
        </r>
      </text>
    </comment>
  </commentList>
</comments>
</file>

<file path=xl/sharedStrings.xml><?xml version="1.0" encoding="utf-8"?>
<sst xmlns="http://schemas.openxmlformats.org/spreadsheetml/2006/main" count="335" uniqueCount="225">
  <si>
    <t>Nursery</t>
  </si>
  <si>
    <t>Wean-Finish</t>
  </si>
  <si>
    <t>Grow-Finish</t>
  </si>
  <si>
    <t>Layers</t>
  </si>
  <si>
    <t>Calves</t>
  </si>
  <si>
    <t>Heifers</t>
  </si>
  <si>
    <t>Cows</t>
  </si>
  <si>
    <t>Feeder Cattle</t>
  </si>
  <si>
    <t>Breeding Herd</t>
  </si>
  <si>
    <t>Piglets Preweaning</t>
  </si>
  <si>
    <t>Item</t>
  </si>
  <si>
    <t>Turkeys</t>
  </si>
  <si>
    <t>Others</t>
  </si>
  <si>
    <t>Adults</t>
  </si>
  <si>
    <t>Foals</t>
  </si>
  <si>
    <t xml:space="preserve"> months</t>
  </si>
  <si>
    <r>
      <t xml:space="preserve"> lb/ft</t>
    </r>
    <r>
      <rPr>
        <vertAlign val="superscript"/>
        <sz val="10"/>
        <rFont val="Arial"/>
        <family val="2"/>
      </rPr>
      <t>3</t>
    </r>
  </si>
  <si>
    <r>
      <t xml:space="preserve"> ft</t>
    </r>
    <r>
      <rPr>
        <vertAlign val="superscript"/>
        <sz val="10"/>
        <rFont val="Arial"/>
        <family val="2"/>
      </rPr>
      <t>3</t>
    </r>
  </si>
  <si>
    <t xml:space="preserve">Target animal tissue density: </t>
  </si>
  <si>
    <t xml:space="preserve">Number of bulking agent storage bins: </t>
  </si>
  <si>
    <r>
      <t xml:space="preserve"> ft</t>
    </r>
    <r>
      <rPr>
        <vertAlign val="superscript"/>
        <sz val="10"/>
        <rFont val="Arial"/>
        <family val="2"/>
      </rPr>
      <t>2</t>
    </r>
  </si>
  <si>
    <t>Compost Facility Summary</t>
  </si>
  <si>
    <t xml:space="preserve"> ft</t>
  </si>
  <si>
    <t xml:space="preserve">Bin volume needed to fill bin in desired time = </t>
  </si>
  <si>
    <t xml:space="preserve">Total piglets farrowed per litter: </t>
  </si>
  <si>
    <t xml:space="preserve">Capacity: </t>
  </si>
  <si>
    <t xml:space="preserve">Percent mortality: </t>
  </si>
  <si>
    <t xml:space="preserve">Average weight of animals during phase (lb): </t>
  </si>
  <si>
    <t>Total farm mortality =</t>
  </si>
  <si>
    <t xml:space="preserve">Bin length: </t>
  </si>
  <si>
    <t xml:space="preserve">Bin width: </t>
  </si>
  <si>
    <t xml:space="preserve">Bin height: </t>
  </si>
  <si>
    <t xml:space="preserve">Construction volume = </t>
  </si>
  <si>
    <t xml:space="preserve">calc'd # composting bins = </t>
  </si>
  <si>
    <t xml:space="preserve">Name: </t>
  </si>
  <si>
    <t xml:space="preserve">Phone: </t>
  </si>
  <si>
    <t xml:space="preserve">Fax: </t>
  </si>
  <si>
    <t xml:space="preserve">Address: </t>
  </si>
  <si>
    <t>Number of composting bins w/ 3 min rule</t>
  </si>
  <si>
    <t>Swine</t>
  </si>
  <si>
    <t>Bovine</t>
  </si>
  <si>
    <t>Poultry</t>
  </si>
  <si>
    <t>Equine</t>
  </si>
  <si>
    <t xml:space="preserve"> lb/day</t>
  </si>
  <si>
    <t xml:space="preserve">Height of compost material: </t>
  </si>
  <si>
    <t xml:space="preserve">Windrow length: </t>
  </si>
  <si>
    <t xml:space="preserve">Windrow width: </t>
  </si>
  <si>
    <t xml:space="preserve"> actual</t>
  </si>
  <si>
    <t>planned</t>
  </si>
  <si>
    <t>Recommendations</t>
  </si>
  <si>
    <t>Windrows</t>
  </si>
  <si>
    <t xml:space="preserve">Length of pile: </t>
  </si>
  <si>
    <t>Hidden bin calculations</t>
  </si>
  <si>
    <t>%Over capacity</t>
  </si>
  <si>
    <t>0&lt;=x&lt;=10%</t>
  </si>
  <si>
    <t>x&lt; 0</t>
  </si>
  <si>
    <t>x&gt;10%</t>
  </si>
  <si>
    <t>recommendation text</t>
  </si>
  <si>
    <t>Tissue</t>
  </si>
  <si>
    <t>Density</t>
  </si>
  <si>
    <t>Recommendation text</t>
  </si>
  <si>
    <t>x&gt;15</t>
  </si>
  <si>
    <t>x&lt;=10</t>
  </si>
  <si>
    <t>Intensive aeration and moisture management may be necessary.</t>
  </si>
  <si>
    <t>Animal tissue density is ok.</t>
  </si>
  <si>
    <t xml:space="preserve">Width at base of pile: </t>
  </si>
  <si>
    <t xml:space="preserve">Bin effective volume = </t>
  </si>
  <si>
    <t>Design Parameters</t>
  </si>
  <si>
    <t xml:space="preserve">  &lt;= input a density &gt; 15 and see what happens</t>
  </si>
  <si>
    <t>Animal tissue density exceeds state of Michigan regulations.</t>
  </si>
  <si>
    <t xml:space="preserve">Type of producer: </t>
  </si>
  <si>
    <t xml:space="preserve">Type of composting facility: </t>
  </si>
  <si>
    <t>Producer type down down menu</t>
  </si>
  <si>
    <t>Facility type drop down menu</t>
  </si>
  <si>
    <t>Display all types of facilities</t>
  </si>
  <si>
    <t>Overlapping piles</t>
  </si>
  <si>
    <t>Bins</t>
  </si>
  <si>
    <t>Piles</t>
  </si>
  <si>
    <t>Effective volume of overlapping piles =</t>
  </si>
  <si>
    <t>Volume needed to construct overlapping piles</t>
  </si>
  <si>
    <t>Effective volume of piles =</t>
  </si>
  <si>
    <t>Volume needed to construct piles =</t>
  </si>
  <si>
    <t xml:space="preserve">Effective volume of windrows = </t>
  </si>
  <si>
    <t>Total farm mortality per time =</t>
  </si>
  <si>
    <t xml:space="preserve"> ------&gt; THESE COLUMNS WILL BE HIDDEN IN FINAL VERSIONS  --------------------------------&gt;</t>
  </si>
  <si>
    <t>Bovine Animal Production Information</t>
  </si>
  <si>
    <t>Swine Animal Production Information</t>
  </si>
  <si>
    <t xml:space="preserve">Days in this production phase: </t>
  </si>
  <si>
    <t xml:space="preserve">Total farm mortality: </t>
  </si>
  <si>
    <t>Days per month =</t>
  </si>
  <si>
    <t>Poultry Animal Production Information</t>
  </si>
  <si>
    <t>Equine Animal Production Information</t>
  </si>
  <si>
    <t xml:space="preserve"> lb/wk</t>
  </si>
  <si>
    <t xml:space="preserve">Total plant mortaility: </t>
  </si>
  <si>
    <t xml:space="preserve">Days per complete turn: </t>
  </si>
  <si>
    <t xml:space="preserve">Calculated daily mortality (lb/day): </t>
  </si>
  <si>
    <t>Select second type of producer:</t>
  </si>
  <si>
    <t>Select third type of producer:</t>
  </si>
  <si>
    <t>None</t>
  </si>
  <si>
    <t xml:space="preserve">     Select type of composting system:</t>
  </si>
  <si>
    <t xml:space="preserve">Second type of producer: </t>
  </si>
  <si>
    <t xml:space="preserve">Thirde type of producer: </t>
  </si>
  <si>
    <t>Producer1, Total farm mortality =</t>
  </si>
  <si>
    <t>Producer2, Total farm mortality =</t>
  </si>
  <si>
    <t>Producer3, Total farm mortality =</t>
  </si>
  <si>
    <t>Select first type of producer:</t>
  </si>
  <si>
    <t xml:space="preserve"> </t>
  </si>
  <si>
    <t xml:space="preserve">Desired time to form pile and establish a batch: </t>
  </si>
  <si>
    <t xml:space="preserve">Desired time to form a windrow and batch: </t>
  </si>
  <si>
    <t xml:space="preserve">Duration of active composting for pile or batch: </t>
  </si>
  <si>
    <t xml:space="preserve">Duration of active composting in windrow/batch: </t>
  </si>
  <si>
    <t xml:space="preserve">Desired time to form pile and batch: </t>
  </si>
  <si>
    <t xml:space="preserve">Desired time to fill bin and create a batch: </t>
  </si>
  <si>
    <t>Duration of active composting in bin:</t>
  </si>
  <si>
    <t>Total number of bins needed</t>
  </si>
  <si>
    <t>Number of bins needed for active composting</t>
  </si>
  <si>
    <t xml:space="preserve">Duration of active composting for pile or batch:  </t>
  </si>
  <si>
    <t>Total efffective volume of system</t>
  </si>
  <si>
    <t>Size of pad including working space</t>
  </si>
  <si>
    <t>Total number of piles needed</t>
  </si>
  <si>
    <t>Size of pad, including working space</t>
  </si>
  <si>
    <t xml:space="preserve">Total farm mortality per time = </t>
  </si>
  <si>
    <t xml:space="preserve">Volume needed to fill windrows = </t>
  </si>
  <si>
    <t>Number of windrows w/ 3 min rule</t>
  </si>
  <si>
    <t>% windrows is over capacity</t>
  </si>
  <si>
    <t>calc'd # of piles needed</t>
  </si>
  <si>
    <t>Number of piles w/ 3 min rule</t>
  </si>
  <si>
    <t>% piles is over capacity</t>
  </si>
  <si>
    <t>calc'd # of overlapping piles needed</t>
  </si>
  <si>
    <t>Composting System Plan Using Bins</t>
  </si>
  <si>
    <t>Composting System Plan Using Windrows</t>
  </si>
  <si>
    <t>Composting System Plan Using Piles</t>
  </si>
  <si>
    <t>Composting System Plan Using Overlapping Piles</t>
  </si>
  <si>
    <t>Total area of floor</t>
  </si>
  <si>
    <t>Total effective volume of piles</t>
  </si>
  <si>
    <t>Area of pad or floor, including working space</t>
  </si>
  <si>
    <t>Apron area needed to form and turn piles</t>
  </si>
  <si>
    <t>Apron area needed to form and turn windrows</t>
  </si>
  <si>
    <t xml:space="preserve">Equipment working space or apron width: </t>
  </si>
  <si>
    <t>System Planner Worksheet</t>
  </si>
  <si>
    <t>1.  Overview</t>
  </si>
  <si>
    <t>There are four general composting systems or methods which may be used to compost animal tissues in static batches: piled in bins, open piles adjacent to one another, piles that overlap slightly, and windrows.  Static means that animal tissue and compost materials are mixed and left to stand motionless or idle for a planned period of time.</t>
  </si>
  <si>
    <t>2.  System Requirements</t>
  </si>
  <si>
    <t>3.  Planning a Compost System</t>
  </si>
  <si>
    <t>Spartan ATC System Planner assists producers of animal tissues with sizing of a composting system. First, the program provides an estimate of amount of animal tissue over time (i.e. rate of accumulation) using enterprise size, mortality rates specific to phases of animal production, and weights (carcasses or by-products). You may enter more than one type of animal production enterprise. Second, Spartan ATC System Planner assists with the selection of a composting system which is sized to accommodate the composting of that amount of mortality in a desired time. You will enter system dimensions using your best reasoning, or by "trial and error" so that "volume needed per desired time" is equal to or slightly greater than the "effective volume" of the bin, pile, or windrow.</t>
  </si>
  <si>
    <t>Throughout the spreadsheet enter appropriate information into cells which are shaded green.</t>
  </si>
  <si>
    <t>The Excel workbook contains the following two worksheets:</t>
  </si>
  <si>
    <r>
      <t>Instructions</t>
    </r>
    <r>
      <rPr>
        <sz val="12"/>
        <rFont val="Arial"/>
        <family val="2"/>
      </rPr>
      <t>.  This sheet contains instructions for using the System Planner worksheet.</t>
    </r>
  </si>
  <si>
    <r>
      <t>System Planner</t>
    </r>
    <r>
      <rPr>
        <sz val="12"/>
        <rFont val="Arial"/>
        <family val="2"/>
      </rPr>
      <t>.  Use this sheet to determine the material flow and size of a static piling compost system or operation.  You will determine animal tissue accumulation rate (amount per time) and then plan how to accomplish the composting of that amount of tissue (flow as batches) through a compost system of a size which you select for your situation.</t>
    </r>
  </si>
  <si>
    <t xml:space="preserve">In the first 11 rows of the System Planner worksheet enter the following general information about your farm or business:  </t>
  </si>
  <si>
    <r>
      <t>Name and address</t>
    </r>
    <r>
      <rPr>
        <sz val="12"/>
        <rFont val="Arial"/>
        <family val="2"/>
      </rPr>
      <t>: Enter the enterprise name and address information for this plan.</t>
    </r>
  </si>
  <si>
    <r>
      <t>Select producer type</t>
    </r>
    <r>
      <rPr>
        <sz val="12"/>
        <rFont val="Arial"/>
        <family val="2"/>
      </rPr>
      <t>: Using the drop-down list, select one or more different animal production enterprises. A table for that specie will appear below to be used to estimate the amount of animal tissue accumulated over time. If more than one animal production enterprise is selected, the amount of animal tissue accumulated over time will be a sum of all enterprises.</t>
    </r>
  </si>
  <si>
    <t>http://www.msu.edu/~rozeboom/</t>
  </si>
  <si>
    <t>Select type of composting system:  Using the drop-down list, select one system you plan to use. This is not a final decision. You may switch from one system to another at any time. Alternatively, all systems may be evaluated at one time. The advantages and disadvantages of each system are described in the Michigan Animal Tissue Compost Operational Standard available at the following URL:</t>
  </si>
  <si>
    <t>b.  Animal Production Information</t>
  </si>
  <si>
    <t>a.  Introductory Steps</t>
  </si>
  <si>
    <t>For each animal production enterprise selected, enter measures in the green shaded cells. For specific help with understanding what information is being requested, a comment will appear when the cursor is placed over the name of the item for which a number is being requested.</t>
  </si>
  <si>
    <t>c.  Composting Systems Information</t>
  </si>
  <si>
    <t>In the lowest portion of the System Planner you enter dimensions of compost material in specific shapes and the months or fraction of months you plan on leaving a batch of compost in your system.</t>
  </si>
  <si>
    <t>A batch is the animal tissue and amendment accumulated together in a planned period of time. Batches provide for appropriately timed temperature monitoring, aerating, and final utilization. Initial additions, or loading of new dead animals and bulking agent is limited to a planned time period which is based on animal tissue accumulations over time (determined in the preceding portion of this worksheet ) and an appropriately sized composting system (determined in the following portion of this worksheet).</t>
  </si>
  <si>
    <r>
      <t>Desired time</t>
    </r>
    <r>
      <rPr>
        <sz val="12"/>
        <rFont val="Arial"/>
        <family val="2"/>
      </rPr>
      <t>: Enter an estimate of the number of months that will be required to start and complete the creation of a new batch. The batch may be kept in one bin or in the form of a windrow or pile. Desired time is the period over which animal tissue will be added.  Most often a period of 1 month is taken to create a batch, but a range from 0.25 to 2 months may be considered depending on daily mortality rate.</t>
    </r>
  </si>
  <si>
    <r>
      <t>Length, width, and height</t>
    </r>
    <r>
      <rPr>
        <sz val="12"/>
        <rFont val="Arial"/>
        <family val="2"/>
      </rPr>
      <t>: Each dimension is described in a comment that will appear when the cursor is placed over the name of the measure. Enter dimensions so that batch "volume needed per desired time" is equal to or slightly greater than the "effective volume" of that batch in that selected system. Enter dimensions by "trial and error."</t>
    </r>
  </si>
  <si>
    <r>
      <t>Duration of active composting in bin</t>
    </r>
    <r>
      <rPr>
        <sz val="12"/>
        <rFont val="Arial"/>
        <family val="2"/>
      </rPr>
      <t>: Number of months after a batch has been created. Time required to decompose tissues is dependent on the maturity of the animals. The number of months of well-managed active composting in static batches for the decomposition of all soft tissues is shown in the table below for carcasses of various sizes. Mature swine hides will persist longer than those of mature bovine or equine, and all other soft tissues.</t>
    </r>
  </si>
  <si>
    <t>Table 1. Months of active composting suggested for the decomposition of soft animal tissues.</t>
  </si>
  <si>
    <t>Carcass size, lb</t>
  </si>
  <si>
    <t>Suggested number of months for well-managed active composting in static batches for the decomposition of all soft tissues</t>
  </si>
  <si>
    <t>1 to 25</t>
  </si>
  <si>
    <t>25 to 125</t>
  </si>
  <si>
    <t>125 to 250</t>
  </si>
  <si>
    <t>250 to 500</t>
  </si>
  <si>
    <t>500 to 1000</t>
  </si>
  <si>
    <t xml:space="preserve">Actively or forced aerated batches (bins, piles, windrows or contained vessels) require up to 50% less time. It has been reported that composting hog farm mortality using the traditional static batch system was a 180-day process, but with the grinding of carcasses and the use of a rotating drum system composting time reduced the time needed to compost all soft tissue by 30 to 50%. </t>
  </si>
  <si>
    <r>
      <t>Equipment working space or apron width</t>
    </r>
    <r>
      <rPr>
        <sz val="12"/>
        <rFont val="Arial"/>
        <family val="2"/>
      </rPr>
      <t>: This is the area around batches needed for formation and mixing using a bucket loader. It is sometimes called an apron. Enter the linear distance from the edge of the compost material (where is meets the inside border of the apron) to outside border of apron. This space depends on size of tractor and loader.</t>
    </r>
  </si>
  <si>
    <r>
      <t>Printing</t>
    </r>
    <r>
      <rPr>
        <sz val="12"/>
        <rFont val="Arial"/>
        <family val="2"/>
      </rPr>
      <t>:  Spartan ATC System Planner prints out plans as one page in portrait orientation.</t>
    </r>
  </si>
  <si>
    <t>System Planner Sheet</t>
  </si>
  <si>
    <t>Emergency Planner Sheet</t>
  </si>
  <si>
    <t>swine motality checkbox</t>
  </si>
  <si>
    <t>bovine mortality checkbox</t>
  </si>
  <si>
    <t>poultry mortality checkbox</t>
  </si>
  <si>
    <t>equine mortality checkbox</t>
  </si>
  <si>
    <t>small ruminant mortality checkbox</t>
  </si>
  <si>
    <t>Description</t>
  </si>
  <si>
    <t>Value</t>
  </si>
  <si>
    <t>Coming soon.  Rk</t>
  </si>
  <si>
    <t>Animal Tissue Production Information</t>
  </si>
  <si>
    <t xml:space="preserve">Animal tissue accumulation: </t>
  </si>
  <si>
    <t>Animal Tissue</t>
  </si>
  <si>
    <t>System volume is appropriately size for anticipated mortality rate</t>
  </si>
  <si>
    <t>Volume of piles is appropriately size for anticipated mortality rate</t>
  </si>
  <si>
    <t>10&lt;x&lt;=15</t>
  </si>
  <si>
    <r>
      <rPr>
        <b/>
        <sz val="12"/>
        <rFont val="Arial"/>
        <family val="2"/>
      </rPr>
      <t>Excel 2003.</t>
    </r>
    <r>
      <rPr>
        <sz val="12"/>
        <rFont val="Arial"/>
        <family val="2"/>
      </rPr>
      <t xml:space="preserve">  Due to changes in how Excel handles macros, there are separate versions of this application for Excel 2003 and for Excel 2007-2010.  You must have Microsoft Excel 2003 or later to run this version of Spartan ATC System Planner.  The spreadsheet contains macros, so MS Excel's security must be set to moderate or low to allow the macros to function.  To change the security setting select Tools &gt; Macro &gt; Security from Excel's main menu and set security to moderate or low.  Since macros are only loaded when a file is first opened, you need to close and reopen a file after changing Excel's macro security settings.  Depending on your security setting, Excel may ask you whether to enable or disable macros when you open the file.  Macros must be enabled for the application to work correctly. 
</t>
    </r>
  </si>
  <si>
    <t>For inquiries about this application contact rozeboom@msu.edu.</t>
  </si>
  <si>
    <t>calc'd # of windrows needed</t>
  </si>
  <si>
    <t>Exact number of windrows needed</t>
  </si>
  <si>
    <t>Total construction volume of bin system</t>
  </si>
  <si>
    <t>HIDE TO HERE ----------&gt;</t>
  </si>
  <si>
    <t>Small Ruminant Production Information</t>
  </si>
  <si>
    <t>Small Ruminant</t>
  </si>
  <si>
    <t xml:space="preserve">Stalls: </t>
  </si>
  <si>
    <t xml:space="preserve">Length of individual pile: </t>
  </si>
  <si>
    <t xml:space="preserve">Width at base of individual pile: </t>
  </si>
  <si>
    <t xml:space="preserve"> % bin system is over capacity</t>
  </si>
  <si>
    <t>Bin system volume is appropriately size for anticipated mortality rate</t>
  </si>
  <si>
    <t>Total windrow volume is appropriately size for anticipated mortality rate</t>
  </si>
  <si>
    <t>Young Stock</t>
  </si>
  <si>
    <t>Changes since version 1.0</t>
  </si>
  <si>
    <t>v1.00 Oct. 9, 2008:  Version 1.0 released.</t>
  </si>
  <si>
    <t>Recommendation text for use case where &lt;3 overlapping bins are needed</t>
  </si>
  <si>
    <t xml:space="preserve"> - Production information section for 'Processor by-product' changed to 'Animal Tissue'</t>
  </si>
  <si>
    <t>v1.02 Mar. 3, 2014:  Several changes made as follows:</t>
  </si>
  <si>
    <t xml:space="preserve"> - Animal production section added for small ruminants.</t>
  </si>
  <si>
    <t xml:space="preserve"> - For overlapping piles composting system, recommendation added when volume requires less than 3 pile minimum worksheet is designed for.</t>
  </si>
  <si>
    <t xml:space="preserve"> - Version 1.01 beta tested and distributed at MSUE Livestock Inservice.</t>
  </si>
  <si>
    <t>Instructions for Spartan Animal Tissue Compost System Planner</t>
  </si>
  <si>
    <t>Spartan Animal Tissue Compost (ATC) System Planner is an Excel application that assists in designing a composting system for routine or normal production, using a static piling approach, including facilities and material flow in batches. The spreadsheet has been designed for composting animal tissue routinely accumulated as whole carcasses (on-farm, live animal businesses) or as animal tissue co-products (animal processing operations).</t>
  </si>
  <si>
    <t>Spartan ATC System Planner was developed by Dr. Dale Rozeboom (Department of Animal Science, Michigan State University), Dr. Howard Person (formerly Department of Agricultural Engineering Michigan State University), Suzanne Reamer (Michigan Natural Resource Conservation Service) and Robert Kriegel M.S. (ANR Technology Services, Michigan State University), and Dean Ross (Agrosecurity Consulting; revisions made in version 1.01, 1.02).</t>
  </si>
  <si>
    <r>
      <t>Target animal tissue density</t>
    </r>
    <r>
      <rPr>
        <sz val="12"/>
        <rFont val="Arial"/>
        <family val="2"/>
      </rPr>
      <t>:  Also known as "volume factor" or "volume coefficient" or the "bulking agent to mortality ratio". This is the most important factor in determining composting volume. This density has been determined through experimentation and animal tissue composting has been successfully accomplished using densities varying from 0.05 to 15 lb/ft</t>
    </r>
    <r>
      <rPr>
        <vertAlign val="superscript"/>
        <sz val="12"/>
        <rFont val="Arial"/>
        <family val="2"/>
      </rPr>
      <t>3</t>
    </r>
    <r>
      <rPr>
        <sz val="12"/>
        <rFont val="Arial"/>
        <family val="2"/>
      </rPr>
      <t>.  However, when animal tissue density is greater than 10 lb/ft</t>
    </r>
    <r>
      <rPr>
        <vertAlign val="superscript"/>
        <sz val="12"/>
        <rFont val="Arial"/>
        <family val="2"/>
      </rPr>
      <t>3</t>
    </r>
    <r>
      <rPr>
        <sz val="12"/>
        <rFont val="Arial"/>
        <family val="2"/>
      </rPr>
      <t>, intensive management of aeration and moisture is necessary. The Spartan ATC System Planner default is 10 lb/ft</t>
    </r>
    <r>
      <rPr>
        <vertAlign val="superscript"/>
        <sz val="12"/>
        <rFont val="Arial"/>
        <family val="2"/>
      </rPr>
      <t>3</t>
    </r>
    <r>
      <rPr>
        <sz val="12"/>
        <rFont val="Arial"/>
        <family val="2"/>
      </rPr>
      <t>.</t>
    </r>
  </si>
  <si>
    <t>In the next portion of the System Planner worksheet you enter production information in order to estimate the routine or normal rate of animal tissue accumulation.</t>
  </si>
  <si>
    <t>The Spartan ATC System Planner has been developed to plan continuous flow composting systems across a range of herd and facility size and management strategies.  The Planner is programmed to report a minimum default of 3 piles or bins required under each planning scenario entered by the user.  Underlying management assumptions suggest that there will be at least one bin or pile built and operational, one bin or pile under construction and one bin or pile ready to accept compost or act as a mixing location.  In situations where annual material flow into the system is very small or highly intermittent, the Spartan ATC System Planner may overestimate the required number of bins, piles or space required.  In situations when planning is for the composting of individual animal mortalities or other materials, the Spartan Emergency ATC Planner may provide a better model.  It is designed to plan for single composting events, rather than for continuous flow operations.</t>
  </si>
  <si>
    <t xml:space="preserve"> - Animal production sections modified to remove 'Number of animals per year' row.</t>
  </si>
  <si>
    <t>v1.01 Dec. 17, 2013:  Several changes made as follows:</t>
  </si>
  <si>
    <t>v1.03</t>
  </si>
  <si>
    <r>
      <rPr>
        <b/>
        <sz val="12"/>
        <rFont val="Arial"/>
        <family val="2"/>
      </rPr>
      <t>Excel 2007 and later</t>
    </r>
    <r>
      <rPr>
        <sz val="12"/>
        <rFont val="Arial"/>
        <family val="2"/>
      </rPr>
      <t xml:space="preserve">. Due to changes in how Excel handles macros, there are separate versions of this application for Excel 2003 and for Excel 2007-2013.  You must have Microsoft Excel 2007 or later to run this version of Spartan ATC System Planner. The spreadsheet contains macros, so MS Excel's security must be set to moderate or low to allow the macros to function.  To change the security setting select the Developer tab on Excel's main menu, then select 'Macro Security' from the toolbar and Tools &gt; Macro &gt; Security from Excel's main menu and set security to enable macros.  Depending on your security setting, Excel may ask you whether to enable or disable macros when you open the file.  Macros must be enabled for the application to work operate correctly.  </t>
    </r>
  </si>
  <si>
    <t>v1.03 Jun. 24, 2019: Once change as follows:</t>
  </si>
  <si>
    <t xml:space="preserve"> - In System Planner sheet, calculation In cell G44 corrected.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</si>
</sst>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
  </numFmts>
  <fonts count="32" x14ac:knownFonts="1">
    <font>
      <sz val="10"/>
      <name val="Arial"/>
    </font>
    <font>
      <sz val="10"/>
      <name val="Arial"/>
      <family val="2"/>
    </font>
    <font>
      <sz val="10"/>
      <name val="Arial"/>
      <family val="2"/>
    </font>
    <font>
      <sz val="8"/>
      <name val="Arial"/>
      <family val="2"/>
    </font>
    <font>
      <sz val="8"/>
      <color indexed="81"/>
      <name val="Tahoma"/>
      <family val="2"/>
    </font>
    <font>
      <sz val="14"/>
      <name val="Arial"/>
      <family val="2"/>
    </font>
    <font>
      <vertAlign val="superscript"/>
      <sz val="10"/>
      <name val="Arial"/>
      <family val="2"/>
    </font>
    <font>
      <b/>
      <sz val="11"/>
      <name val="Arial"/>
      <family val="2"/>
    </font>
    <font>
      <u/>
      <sz val="10"/>
      <color indexed="12"/>
      <name val="Arial"/>
      <family val="2"/>
    </font>
    <font>
      <sz val="8"/>
      <color indexed="81"/>
      <name val="Arial"/>
      <family val="2"/>
    </font>
    <font>
      <vertAlign val="superscript"/>
      <sz val="8"/>
      <color indexed="81"/>
      <name val="Tahoma"/>
      <family val="2"/>
    </font>
    <font>
      <b/>
      <sz val="10"/>
      <name val="Arial"/>
      <family val="2"/>
    </font>
    <font>
      <i/>
      <sz val="10"/>
      <name val="Arial"/>
      <family val="2"/>
    </font>
    <font>
      <b/>
      <sz val="14"/>
      <name val="Arial"/>
      <family val="2"/>
    </font>
    <font>
      <sz val="11"/>
      <name val="Arial"/>
      <family val="2"/>
    </font>
    <font>
      <b/>
      <sz val="12"/>
      <color indexed="17"/>
      <name val="Arial"/>
      <family val="2"/>
    </font>
    <font>
      <sz val="10"/>
      <color indexed="10"/>
      <name val="Arial"/>
      <family val="2"/>
    </font>
    <font>
      <b/>
      <sz val="10"/>
      <color indexed="10"/>
      <name val="Arial"/>
      <family val="2"/>
    </font>
    <font>
      <b/>
      <sz val="10"/>
      <color indexed="14"/>
      <name val="Arial"/>
      <family val="2"/>
    </font>
    <font>
      <b/>
      <sz val="18"/>
      <color indexed="17"/>
      <name val="Times New Roman"/>
      <family val="1"/>
    </font>
    <font>
      <sz val="12"/>
      <name val="Arial"/>
      <family val="2"/>
    </font>
    <font>
      <sz val="9"/>
      <color indexed="81"/>
      <name val="Tahoma"/>
      <family val="2"/>
    </font>
    <font>
      <i/>
      <sz val="9"/>
      <color indexed="81"/>
      <name val="Tahoma"/>
      <family val="2"/>
    </font>
    <font>
      <b/>
      <sz val="12"/>
      <name val="Arial"/>
      <family val="2"/>
    </font>
    <font>
      <sz val="12"/>
      <name val="Times New Roman"/>
      <family val="1"/>
    </font>
    <font>
      <sz val="12"/>
      <name val="Arial"/>
      <family val="2"/>
    </font>
    <font>
      <u/>
      <sz val="12"/>
      <name val="Arial"/>
      <family val="2"/>
    </font>
    <font>
      <i/>
      <sz val="12"/>
      <name val="Arial"/>
      <family val="2"/>
    </font>
    <font>
      <vertAlign val="superscript"/>
      <sz val="12"/>
      <name val="Arial"/>
      <family val="2"/>
    </font>
    <font>
      <b/>
      <sz val="12"/>
      <name val="Arial"/>
      <family val="2"/>
    </font>
    <font>
      <u/>
      <sz val="14"/>
      <color indexed="12"/>
      <name val="Arial"/>
      <family val="2"/>
    </font>
    <font>
      <b/>
      <sz val="12"/>
      <name val="Times New Roman"/>
      <family val="1"/>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230">
    <xf numFmtId="0" fontId="0" fillId="0" borderId="0" xfId="0"/>
    <xf numFmtId="0" fontId="1" fillId="0" borderId="0" xfId="0" applyFont="1"/>
    <xf numFmtId="0" fontId="11" fillId="0" borderId="0" xfId="0" applyFont="1"/>
    <xf numFmtId="0" fontId="0" fillId="0" borderId="0" xfId="0" applyAlignment="1">
      <alignment horizontal="right"/>
    </xf>
    <xf numFmtId="0" fontId="2" fillId="0" borderId="0" xfId="0" applyFont="1"/>
    <xf numFmtId="0" fontId="20" fillId="0" borderId="0" xfId="0" applyFont="1" applyAlignment="1">
      <alignment vertical="top" wrapText="1"/>
    </xf>
    <xf numFmtId="0" fontId="0" fillId="0" borderId="0" xfId="0" applyAlignment="1">
      <alignment wrapText="1"/>
    </xf>
    <xf numFmtId="0" fontId="26" fillId="0" borderId="0" xfId="0" applyFont="1" applyAlignment="1">
      <alignment vertical="top" wrapText="1"/>
    </xf>
    <xf numFmtId="0" fontId="24" fillId="0" borderId="23" xfId="0" applyFont="1" applyBorder="1" applyAlignment="1">
      <alignment horizontal="center" vertical="top"/>
    </xf>
    <xf numFmtId="0" fontId="31" fillId="0" borderId="24" xfId="0" applyFont="1" applyBorder="1" applyAlignment="1">
      <alignment horizontal="center" vertical="top" wrapText="1"/>
    </xf>
    <xf numFmtId="0" fontId="24" fillId="0" borderId="25" xfId="0" applyFont="1" applyBorder="1" applyAlignment="1">
      <alignment horizontal="center" vertical="top"/>
    </xf>
    <xf numFmtId="0" fontId="24" fillId="0" borderId="26" xfId="0" applyFont="1" applyBorder="1" applyAlignment="1">
      <alignment horizontal="center" vertical="top"/>
    </xf>
    <xf numFmtId="0" fontId="24" fillId="0" borderId="27" xfId="0" applyFont="1" applyBorder="1" applyAlignment="1">
      <alignment horizontal="center" vertical="top"/>
    </xf>
    <xf numFmtId="0" fontId="24" fillId="0" borderId="28" xfId="0" applyFont="1" applyBorder="1" applyAlignment="1">
      <alignment horizontal="center" vertical="top"/>
    </xf>
    <xf numFmtId="0" fontId="24" fillId="0" borderId="29" xfId="0" applyFont="1" applyBorder="1" applyAlignment="1">
      <alignment horizontal="center" vertical="top"/>
    </xf>
    <xf numFmtId="0" fontId="31" fillId="0" borderId="30" xfId="0" applyFont="1" applyBorder="1" applyAlignment="1">
      <alignment horizontal="center" vertical="top"/>
    </xf>
    <xf numFmtId="0" fontId="0" fillId="0" borderId="0" xfId="0" applyFont="1" applyAlignment="1">
      <alignment horizontal="right"/>
    </xf>
    <xf numFmtId="0" fontId="11" fillId="0" borderId="0" xfId="0" applyFont="1" applyAlignment="1">
      <alignment horizontal="center"/>
    </xf>
    <xf numFmtId="0" fontId="20" fillId="0" borderId="0" xfId="0" applyFont="1"/>
    <xf numFmtId="0" fontId="23" fillId="0" borderId="0" xfId="0" applyFont="1"/>
    <xf numFmtId="1" fontId="0" fillId="0" borderId="35" xfId="0" applyNumberFormat="1" applyBorder="1" applyAlignment="1" applyProtection="1">
      <alignment horizontal="right" indent="1"/>
      <protection hidden="1"/>
    </xf>
    <xf numFmtId="1" fontId="0" fillId="0" borderId="1" xfId="0" applyNumberFormat="1" applyBorder="1" applyAlignment="1" applyProtection="1">
      <alignment horizontal="right" indent="1"/>
      <protection hidden="1"/>
    </xf>
    <xf numFmtId="0" fontId="0" fillId="2" borderId="1" xfId="0" applyFill="1" applyBorder="1" applyAlignment="1" applyProtection="1">
      <alignment horizontal="right" indent="1"/>
      <protection locked="0"/>
    </xf>
    <xf numFmtId="0" fontId="0" fillId="2" borderId="8" xfId="0" applyFill="1" applyBorder="1" applyAlignment="1" applyProtection="1">
      <alignment horizontal="right" indent="1"/>
      <protection locked="0"/>
    </xf>
    <xf numFmtId="0" fontId="0" fillId="2" borderId="13" xfId="0" applyFill="1" applyBorder="1" applyAlignment="1" applyProtection="1">
      <alignment horizontal="right" indent="1"/>
      <protection locked="0"/>
    </xf>
    <xf numFmtId="9" fontId="0" fillId="2" borderId="1" xfId="0" applyNumberFormat="1" applyFill="1" applyBorder="1" applyAlignment="1" applyProtection="1">
      <alignment horizontal="right" indent="1"/>
      <protection locked="0"/>
    </xf>
    <xf numFmtId="9" fontId="0" fillId="2" borderId="13" xfId="0" applyNumberFormat="1" applyFill="1" applyBorder="1" applyAlignment="1" applyProtection="1">
      <alignment horizontal="right" indent="1"/>
      <protection locked="0"/>
    </xf>
    <xf numFmtId="9" fontId="0" fillId="2" borderId="1" xfId="3" applyFont="1" applyFill="1" applyBorder="1" applyAlignment="1" applyProtection="1">
      <alignment horizontal="right" indent="1"/>
      <protection locked="0"/>
    </xf>
    <xf numFmtId="9" fontId="0" fillId="2" borderId="13" xfId="3" applyFont="1" applyFill="1" applyBorder="1" applyAlignment="1" applyProtection="1">
      <alignment horizontal="right" indent="1"/>
      <protection locked="0"/>
    </xf>
    <xf numFmtId="3" fontId="0" fillId="2" borderId="1" xfId="0" applyNumberFormat="1" applyFill="1" applyBorder="1" applyAlignment="1" applyProtection="1">
      <alignment horizontal="right" indent="1"/>
      <protection locked="0"/>
    </xf>
    <xf numFmtId="3" fontId="0" fillId="2" borderId="13" xfId="0" applyNumberFormat="1" applyFill="1" applyBorder="1" applyAlignment="1" applyProtection="1">
      <alignment horizontal="right" indent="1"/>
      <protection locked="0"/>
    </xf>
    <xf numFmtId="3" fontId="0" fillId="2" borderId="1" xfId="1" applyNumberFormat="1" applyFont="1" applyFill="1" applyBorder="1" applyAlignment="1" applyProtection="1">
      <alignment horizontal="right" indent="1"/>
      <protection locked="0"/>
    </xf>
    <xf numFmtId="3" fontId="0" fillId="2" borderId="13" xfId="1" applyNumberFormat="1" applyFont="1" applyFill="1" applyBorder="1" applyAlignment="1" applyProtection="1">
      <alignment horizontal="right" indent="1"/>
      <protection locked="0"/>
    </xf>
    <xf numFmtId="3" fontId="0" fillId="2" borderId="17" xfId="1" applyNumberFormat="1" applyFont="1" applyFill="1" applyBorder="1" applyAlignment="1" applyProtection="1">
      <alignment horizontal="right" indent="1"/>
      <protection locked="0"/>
    </xf>
    <xf numFmtId="1" fontId="0" fillId="2" borderId="1" xfId="0" applyNumberFormat="1" applyFill="1" applyBorder="1" applyAlignment="1" applyProtection="1">
      <alignment horizontal="right" indent="1"/>
      <protection locked="0"/>
    </xf>
    <xf numFmtId="165" fontId="0" fillId="2" borderId="1" xfId="0" applyNumberFormat="1" applyFill="1" applyBorder="1" applyAlignment="1" applyProtection="1">
      <alignment horizontal="right" indent="1"/>
      <protection locked="0"/>
    </xf>
    <xf numFmtId="0" fontId="0" fillId="2" borderId="1" xfId="0" applyFill="1" applyBorder="1" applyAlignment="1" applyProtection="1">
      <alignment horizontal="right" indent="2"/>
      <protection locked="0"/>
    </xf>
    <xf numFmtId="1" fontId="0" fillId="2" borderId="1" xfId="0" applyNumberFormat="1" applyFill="1" applyBorder="1" applyAlignment="1" applyProtection="1">
      <alignment horizontal="right" indent="2"/>
      <protection locked="0"/>
    </xf>
    <xf numFmtId="0" fontId="0" fillId="0" borderId="0" xfId="0" applyProtection="1"/>
    <xf numFmtId="0" fontId="13" fillId="0" borderId="0" xfId="0" applyFont="1" applyAlignment="1" applyProtection="1">
      <alignment horizontal="center"/>
    </xf>
    <xf numFmtId="0" fontId="0" fillId="0" borderId="0" xfId="0" applyFill="1" applyProtection="1"/>
    <xf numFmtId="0" fontId="1" fillId="0" borderId="0" xfId="0" applyFont="1" applyProtection="1"/>
    <xf numFmtId="0" fontId="1" fillId="0" borderId="0" xfId="0" applyFont="1" applyBorder="1" applyAlignment="1" applyProtection="1"/>
    <xf numFmtId="0" fontId="1" fillId="0" borderId="0" xfId="0" applyFont="1" applyFill="1" applyBorder="1" applyAlignment="1" applyProtection="1"/>
    <xf numFmtId="0" fontId="1" fillId="0" borderId="0" xfId="0" applyFont="1" applyFill="1" applyProtection="1"/>
    <xf numFmtId="0" fontId="0" fillId="0" borderId="0" xfId="0" applyBorder="1" applyAlignment="1" applyProtection="1">
      <alignment horizontal="right"/>
    </xf>
    <xf numFmtId="0" fontId="0" fillId="0" borderId="0" xfId="0" applyBorder="1" applyProtection="1"/>
    <xf numFmtId="0" fontId="18" fillId="0" borderId="0" xfId="0" applyFont="1" applyProtection="1"/>
    <xf numFmtId="0" fontId="5" fillId="0" borderId="0" xfId="0" applyFont="1" applyFill="1" applyBorder="1" applyAlignment="1" applyProtection="1"/>
    <xf numFmtId="0" fontId="5" fillId="0" borderId="0" xfId="0" applyFont="1" applyFill="1" applyBorder="1" applyAlignment="1" applyProtection="1">
      <alignment horizontal="center"/>
    </xf>
    <xf numFmtId="0" fontId="18" fillId="0" borderId="0" xfId="0" applyFont="1" applyAlignment="1" applyProtection="1">
      <alignment horizontal="right"/>
    </xf>
    <xf numFmtId="0" fontId="0" fillId="0" borderId="0" xfId="0" applyBorder="1" applyAlignment="1" applyProtection="1">
      <alignment horizontal="right" wrapText="1"/>
    </xf>
    <xf numFmtId="1" fontId="0" fillId="0" borderId="0" xfId="0" applyNumberFormat="1" applyBorder="1" applyAlignment="1" applyProtection="1">
      <alignment horizontal="right" indent="1"/>
    </xf>
    <xf numFmtId="0" fontId="17" fillId="0" borderId="0" xfId="0" applyFont="1" applyFill="1" applyProtection="1"/>
    <xf numFmtId="0" fontId="17" fillId="0" borderId="0" xfId="0" applyFont="1" applyAlignment="1" applyProtection="1">
      <alignment horizontal="left"/>
    </xf>
    <xf numFmtId="0" fontId="11" fillId="0" borderId="0" xfId="0" applyFont="1" applyFill="1" applyProtection="1"/>
    <xf numFmtId="0" fontId="11" fillId="0" borderId="0" xfId="0" applyFont="1" applyFill="1" applyAlignment="1" applyProtection="1">
      <alignment horizontal="left" vertical="center"/>
    </xf>
    <xf numFmtId="0" fontId="0" fillId="0" borderId="0" xfId="0" applyAlignment="1" applyProtection="1">
      <alignment horizontal="left"/>
    </xf>
    <xf numFmtId="0" fontId="0" fillId="0" borderId="0" xfId="0" applyBorder="1" applyAlignment="1" applyProtection="1">
      <alignment horizontal="left"/>
    </xf>
    <xf numFmtId="0" fontId="11" fillId="0" borderId="0" xfId="0" applyFont="1" applyFill="1" applyAlignment="1" applyProtection="1">
      <alignment horizontal="left"/>
    </xf>
    <xf numFmtId="0" fontId="0" fillId="0" borderId="0" xfId="0" applyFill="1" applyAlignment="1" applyProtection="1">
      <alignment horizontal="right"/>
    </xf>
    <xf numFmtId="0" fontId="0" fillId="0" borderId="0" xfId="0" applyFill="1" applyAlignment="1" applyProtection="1">
      <alignment horizontal="right" inden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0" fillId="3" borderId="4" xfId="0" applyFill="1" applyBorder="1" applyProtection="1"/>
    <xf numFmtId="0" fontId="11" fillId="3" borderId="21" xfId="0" applyFont="1" applyFill="1" applyBorder="1" applyAlignment="1" applyProtection="1">
      <alignment horizontal="center"/>
    </xf>
    <xf numFmtId="0" fontId="0" fillId="3" borderId="0" xfId="0" applyFill="1" applyBorder="1" applyProtection="1"/>
    <xf numFmtId="0" fontId="11" fillId="3" borderId="0" xfId="0" applyFont="1" applyFill="1" applyBorder="1" applyAlignment="1" applyProtection="1">
      <alignment horizontal="center"/>
    </xf>
    <xf numFmtId="0" fontId="0" fillId="3" borderId="5" xfId="0" applyFill="1" applyBorder="1" applyProtection="1"/>
    <xf numFmtId="0" fontId="0" fillId="0" borderId="21" xfId="0" applyBorder="1" applyAlignment="1" applyProtection="1">
      <alignment horizontal="center"/>
    </xf>
    <xf numFmtId="0" fontId="0" fillId="0" borderId="5" xfId="0" applyBorder="1" applyProtection="1"/>
    <xf numFmtId="0" fontId="11" fillId="0" borderId="0" xfId="0" applyFont="1" applyBorder="1" applyProtection="1"/>
    <xf numFmtId="0" fontId="11" fillId="0" borderId="0" xfId="0" applyFont="1" applyProtection="1"/>
    <xf numFmtId="0" fontId="1" fillId="0" borderId="21" xfId="0" applyFont="1" applyBorder="1" applyProtection="1"/>
    <xf numFmtId="0" fontId="0" fillId="0" borderId="22" xfId="0" applyBorder="1" applyAlignment="1" applyProtection="1">
      <alignment horizontal="center"/>
    </xf>
    <xf numFmtId="0" fontId="0" fillId="0" borderId="6" xfId="0" applyBorder="1" applyProtection="1"/>
    <xf numFmtId="0" fontId="0" fillId="0" borderId="7" xfId="0" applyBorder="1" applyProtection="1"/>
    <xf numFmtId="0" fontId="15" fillId="0" borderId="0" xfId="0" applyFont="1" applyBorder="1" applyAlignment="1" applyProtection="1"/>
    <xf numFmtId="0" fontId="15" fillId="0" borderId="2" xfId="0" applyFont="1" applyBorder="1" applyAlignment="1" applyProtection="1"/>
    <xf numFmtId="0" fontId="0" fillId="0" borderId="3" xfId="0" applyBorder="1" applyProtection="1"/>
    <xf numFmtId="0" fontId="15" fillId="0" borderId="3" xfId="0" applyFont="1" applyBorder="1" applyAlignment="1" applyProtection="1"/>
    <xf numFmtId="0" fontId="0" fillId="0" borderId="4" xfId="0" applyBorder="1" applyProtection="1"/>
    <xf numFmtId="0" fontId="0" fillId="0" borderId="21" xfId="0" applyBorder="1" applyProtection="1"/>
    <xf numFmtId="0" fontId="0" fillId="3" borderId="18" xfId="0" applyFill="1" applyBorder="1" applyAlignment="1" applyProtection="1"/>
    <xf numFmtId="0" fontId="0" fillId="3" borderId="19" xfId="0" applyFill="1" applyBorder="1" applyAlignment="1" applyProtection="1">
      <alignment horizontal="center" vertical="center"/>
    </xf>
    <xf numFmtId="0" fontId="0" fillId="3" borderId="20" xfId="0" applyFill="1" applyBorder="1" applyProtection="1"/>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0" fillId="0" borderId="11" xfId="0" applyBorder="1" applyProtection="1"/>
    <xf numFmtId="0" fontId="0" fillId="0" borderId="0" xfId="0" applyBorder="1" applyAlignment="1" applyProtection="1"/>
    <xf numFmtId="0" fontId="1" fillId="0" borderId="0" xfId="0" applyFont="1" applyBorder="1" applyAlignment="1" applyProtection="1">
      <alignment horizontal="right"/>
    </xf>
    <xf numFmtId="0" fontId="0" fillId="0" borderId="0" xfId="0" applyBorder="1" applyAlignment="1" applyProtection="1">
      <alignment horizontal="right" indent="1"/>
    </xf>
    <xf numFmtId="0" fontId="0" fillId="0" borderId="12" xfId="0" applyBorder="1" applyAlignment="1" applyProtection="1">
      <alignment horizontal="right" indent="1"/>
    </xf>
    <xf numFmtId="0" fontId="1" fillId="0" borderId="0" xfId="0" applyFont="1" applyBorder="1" applyAlignment="1" applyProtection="1">
      <alignment horizontal="right" indent="1"/>
    </xf>
    <xf numFmtId="0" fontId="0" fillId="0" borderId="14" xfId="0" applyBorder="1" applyProtection="1"/>
    <xf numFmtId="0" fontId="0" fillId="0" borderId="15" xfId="0" applyBorder="1" applyAlignment="1" applyProtection="1"/>
    <xf numFmtId="0" fontId="0" fillId="0" borderId="15" xfId="0" applyBorder="1" applyAlignment="1" applyProtection="1">
      <alignment horizontal="right"/>
    </xf>
    <xf numFmtId="1" fontId="0" fillId="0" borderId="0" xfId="1" applyNumberFormat="1" applyFont="1" applyBorder="1" applyAlignment="1" applyProtection="1">
      <alignment horizontal="right" indent="1"/>
    </xf>
    <xf numFmtId="0" fontId="0" fillId="0" borderId="22" xfId="0" applyBorder="1" applyProtection="1"/>
    <xf numFmtId="0" fontId="0" fillId="0" borderId="6" xfId="0" applyBorder="1" applyAlignment="1" applyProtection="1"/>
    <xf numFmtId="0" fontId="0" fillId="0" borderId="6" xfId="0" applyBorder="1" applyAlignment="1" applyProtection="1">
      <alignment horizontal="right"/>
    </xf>
    <xf numFmtId="1" fontId="0" fillId="0" borderId="6" xfId="0" applyNumberFormat="1" applyBorder="1" applyAlignment="1" applyProtection="1">
      <alignment horizontal="center"/>
    </xf>
    <xf numFmtId="0" fontId="0" fillId="0" borderId="6" xfId="0" applyBorder="1" applyAlignment="1" applyProtection="1">
      <alignment horizontal="left"/>
    </xf>
    <xf numFmtId="1" fontId="0" fillId="0" borderId="0" xfId="0" applyNumberFormat="1" applyBorder="1" applyAlignment="1" applyProtection="1">
      <alignment horizontal="center"/>
    </xf>
    <xf numFmtId="0" fontId="0" fillId="0" borderId="3" xfId="0" applyBorder="1" applyAlignment="1" applyProtection="1"/>
    <xf numFmtId="0" fontId="0" fillId="0" borderId="3" xfId="0" applyBorder="1" applyAlignment="1" applyProtection="1">
      <alignment horizontal="right"/>
    </xf>
    <xf numFmtId="1" fontId="0" fillId="0" borderId="3" xfId="0" applyNumberFormat="1" applyBorder="1" applyAlignment="1" applyProtection="1">
      <alignment horizontal="center"/>
    </xf>
    <xf numFmtId="0" fontId="0" fillId="0" borderId="3" xfId="0" applyBorder="1" applyAlignment="1" applyProtection="1">
      <alignment horizontal="left"/>
    </xf>
    <xf numFmtId="0" fontId="0" fillId="3" borderId="9" xfId="0" applyFill="1" applyBorder="1" applyAlignment="1" applyProtection="1">
      <alignment horizontal="center" wrapText="1"/>
    </xf>
    <xf numFmtId="0" fontId="0" fillId="3" borderId="10" xfId="0" applyFill="1" applyBorder="1" applyAlignment="1" applyProtection="1">
      <alignment horizontal="center" wrapText="1"/>
    </xf>
    <xf numFmtId="0" fontId="16" fillId="0" borderId="0" xfId="0" applyFont="1" applyProtection="1"/>
    <xf numFmtId="1" fontId="0" fillId="0" borderId="16" xfId="0" applyNumberFormat="1" applyBorder="1" applyAlignment="1" applyProtection="1">
      <alignment horizontal="right" indent="1"/>
    </xf>
    <xf numFmtId="1" fontId="0" fillId="0" borderId="17" xfId="0" applyNumberFormat="1" applyBorder="1" applyAlignment="1" applyProtection="1">
      <alignment horizontal="right" indent="1"/>
    </xf>
    <xf numFmtId="1" fontId="0" fillId="0" borderId="6" xfId="0" applyNumberFormat="1" applyBorder="1" applyAlignment="1" applyProtection="1">
      <alignment horizontal="right" inden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wrapText="1"/>
    </xf>
    <xf numFmtId="0" fontId="0" fillId="0" borderId="2" xfId="0" applyBorder="1" applyProtection="1"/>
    <xf numFmtId="0" fontId="0" fillId="0" borderId="15" xfId="0" applyBorder="1" applyProtection="1"/>
    <xf numFmtId="0" fontId="0" fillId="3" borderId="20" xfId="0" applyFill="1" applyBorder="1" applyAlignment="1" applyProtection="1">
      <alignment wrapText="1"/>
    </xf>
    <xf numFmtId="1" fontId="0" fillId="0" borderId="0" xfId="0" applyNumberFormat="1" applyBorder="1" applyAlignment="1" applyProtection="1">
      <alignment horizontal="right" indent="2"/>
    </xf>
    <xf numFmtId="0" fontId="0" fillId="0" borderId="0" xfId="0" applyBorder="1" applyAlignment="1" applyProtection="1">
      <alignment horizontal="right" indent="2"/>
    </xf>
    <xf numFmtId="1" fontId="0" fillId="0" borderId="3" xfId="0" applyNumberFormat="1" applyBorder="1" applyAlignment="1" applyProtection="1">
      <alignment horizontal="right" indent="2"/>
    </xf>
    <xf numFmtId="0" fontId="0" fillId="0" borderId="3" xfId="0" applyBorder="1" applyAlignment="1" applyProtection="1">
      <alignment horizontal="right" indent="2"/>
    </xf>
    <xf numFmtId="0" fontId="1" fillId="3" borderId="10" xfId="0" applyFont="1" applyFill="1" applyBorder="1" applyAlignment="1" applyProtection="1">
      <alignment horizontal="center"/>
    </xf>
    <xf numFmtId="0" fontId="1" fillId="0" borderId="15" xfId="0" applyFont="1" applyBorder="1" applyAlignment="1" applyProtection="1">
      <alignment horizontal="right"/>
    </xf>
    <xf numFmtId="0" fontId="0" fillId="0" borderId="0" xfId="0" applyBorder="1" applyAlignment="1" applyProtection="1">
      <alignment horizontal="center"/>
    </xf>
    <xf numFmtId="3" fontId="0" fillId="0" borderId="0" xfId="0" applyNumberFormat="1" applyBorder="1" applyAlignment="1" applyProtection="1">
      <alignment horizontal="left" indent="2"/>
    </xf>
    <xf numFmtId="1" fontId="0" fillId="0" borderId="6" xfId="0" applyNumberFormat="1" applyBorder="1" applyAlignment="1" applyProtection="1">
      <alignment horizontal="right" indent="2"/>
    </xf>
    <xf numFmtId="0" fontId="0" fillId="0" borderId="6" xfId="0" applyBorder="1" applyAlignment="1" applyProtection="1">
      <alignment horizontal="right" indent="2"/>
    </xf>
    <xf numFmtId="0" fontId="11" fillId="0" borderId="3" xfId="0" applyFont="1" applyBorder="1" applyProtection="1"/>
    <xf numFmtId="0" fontId="0" fillId="0" borderId="0" xfId="0" applyFill="1" applyBorder="1" applyAlignment="1" applyProtection="1">
      <alignment horizontal="left"/>
    </xf>
    <xf numFmtId="3" fontId="0" fillId="0" borderId="0" xfId="1" applyNumberFormat="1" applyFont="1" applyBorder="1" applyAlignment="1" applyProtection="1">
      <alignment horizontal="right"/>
    </xf>
    <xf numFmtId="0" fontId="0" fillId="0" borderId="5" xfId="0" applyBorder="1" applyAlignment="1" applyProtection="1">
      <alignment horizontal="left"/>
    </xf>
    <xf numFmtId="3" fontId="0" fillId="0" borderId="0" xfId="0" applyNumberFormat="1" applyBorder="1" applyAlignment="1" applyProtection="1">
      <alignment horizontal="right"/>
    </xf>
    <xf numFmtId="0" fontId="2" fillId="0" borderId="0" xfId="0" applyFont="1" applyBorder="1" applyAlignment="1" applyProtection="1"/>
    <xf numFmtId="0" fontId="2" fillId="0" borderId="5" xfId="0" applyFont="1" applyBorder="1" applyAlignment="1" applyProtection="1"/>
    <xf numFmtId="0" fontId="0" fillId="0" borderId="0" xfId="0" applyFill="1" applyBorder="1" applyProtection="1"/>
    <xf numFmtId="0" fontId="12" fillId="0" borderId="0" xfId="0" applyFont="1" applyBorder="1" applyProtection="1"/>
    <xf numFmtId="0" fontId="0" fillId="0" borderId="0" xfId="0" applyAlignment="1" applyProtection="1">
      <alignment horizontal="right"/>
    </xf>
    <xf numFmtId="165" fontId="0" fillId="0" borderId="0" xfId="0" applyNumberFormat="1" applyAlignment="1" applyProtection="1">
      <alignment horizontal="right"/>
    </xf>
    <xf numFmtId="165" fontId="0" fillId="0" borderId="0" xfId="0" applyNumberFormat="1" applyBorder="1" applyAlignment="1" applyProtection="1">
      <alignment horizontal="right"/>
    </xf>
    <xf numFmtId="0" fontId="1" fillId="0" borderId="0" xfId="0" applyFont="1" applyFill="1" applyBorder="1" applyAlignment="1" applyProtection="1">
      <alignment horizontal="right"/>
    </xf>
    <xf numFmtId="9" fontId="0" fillId="0" borderId="0" xfId="3" applyFont="1" applyProtection="1"/>
    <xf numFmtId="0" fontId="2" fillId="0" borderId="0" xfId="0" applyFont="1" applyBorder="1" applyProtection="1"/>
    <xf numFmtId="0" fontId="11" fillId="3" borderId="2" xfId="0" applyFont="1" applyFill="1" applyBorder="1" applyProtection="1"/>
    <xf numFmtId="0" fontId="11" fillId="3" borderId="3" xfId="0" applyFont="1" applyFill="1" applyBorder="1" applyProtection="1"/>
    <xf numFmtId="0" fontId="11" fillId="3" borderId="3" xfId="0" applyFont="1" applyFill="1" applyBorder="1" applyAlignment="1" applyProtection="1">
      <alignment horizontal="left"/>
    </xf>
    <xf numFmtId="0" fontId="11" fillId="3" borderId="4" xfId="0" applyFont="1" applyFill="1" applyBorder="1" applyProtection="1"/>
    <xf numFmtId="0" fontId="2" fillId="0" borderId="0" xfId="0" applyFont="1" applyBorder="1" applyAlignment="1" applyProtection="1">
      <alignment horizontal="right"/>
    </xf>
    <xf numFmtId="1" fontId="2" fillId="0" borderId="0" xfId="0" applyNumberFormat="1" applyFont="1" applyBorder="1" applyAlignment="1" applyProtection="1">
      <alignment horizontal="right" indent="1"/>
    </xf>
    <xf numFmtId="165" fontId="2" fillId="0" borderId="0" xfId="0" applyNumberFormat="1" applyFont="1" applyBorder="1" applyAlignment="1" applyProtection="1">
      <alignment horizontal="left" indent="3"/>
    </xf>
    <xf numFmtId="0" fontId="1" fillId="0" borderId="0" xfId="0" quotePrefix="1" applyFont="1" applyBorder="1" applyProtection="1"/>
    <xf numFmtId="3" fontId="2" fillId="0" borderId="0" xfId="1" applyNumberFormat="1" applyFont="1" applyBorder="1" applyAlignment="1" applyProtection="1">
      <alignment horizontal="right" indent="1"/>
    </xf>
    <xf numFmtId="0" fontId="16" fillId="0" borderId="0" xfId="0" applyFont="1" applyBorder="1" applyProtection="1"/>
    <xf numFmtId="0" fontId="1" fillId="0" borderId="0" xfId="0" applyFont="1" applyBorder="1" applyProtection="1"/>
    <xf numFmtId="0" fontId="2" fillId="0" borderId="6" xfId="0" applyFont="1" applyBorder="1" applyAlignment="1" applyProtection="1"/>
    <xf numFmtId="0" fontId="2" fillId="0" borderId="6" xfId="0" applyFont="1" applyBorder="1" applyAlignment="1" applyProtection="1">
      <alignment horizontal="right"/>
    </xf>
    <xf numFmtId="3" fontId="2" fillId="0" borderId="6" xfId="1" applyNumberFormat="1" applyFont="1" applyBorder="1" applyAlignment="1" applyProtection="1">
      <alignment horizontal="right" indent="1"/>
    </xf>
    <xf numFmtId="0" fontId="16" fillId="0" borderId="6" xfId="0" applyFont="1" applyBorder="1" applyProtection="1"/>
    <xf numFmtId="0" fontId="15" fillId="0" borderId="0" xfId="0" applyFont="1" applyProtection="1"/>
    <xf numFmtId="0" fontId="1" fillId="0" borderId="3" xfId="0" applyFont="1" applyFill="1" applyBorder="1" applyProtection="1"/>
    <xf numFmtId="0" fontId="0" fillId="0" borderId="3" xfId="0" applyFill="1" applyBorder="1" applyProtection="1"/>
    <xf numFmtId="0" fontId="1" fillId="0" borderId="3" xfId="0" applyFont="1" applyBorder="1" applyProtection="1"/>
    <xf numFmtId="0" fontId="0" fillId="0" borderId="0" xfId="0" quotePrefix="1" applyBorder="1" applyProtection="1"/>
    <xf numFmtId="2" fontId="0" fillId="0" borderId="0" xfId="0" applyNumberFormat="1" applyProtection="1"/>
    <xf numFmtId="0" fontId="2" fillId="0" borderId="0" xfId="0" applyFont="1" applyFill="1" applyBorder="1" applyAlignment="1" applyProtection="1">
      <alignment horizontal="right"/>
    </xf>
    <xf numFmtId="0" fontId="0" fillId="0" borderId="0" xfId="0" applyFill="1" applyBorder="1" applyAlignment="1" applyProtection="1">
      <alignment horizontal="right"/>
    </xf>
    <xf numFmtId="1" fontId="1" fillId="0" borderId="0" xfId="0" applyNumberFormat="1" applyFont="1" applyBorder="1" applyAlignment="1" applyProtection="1">
      <alignment horizontal="right" indent="1"/>
    </xf>
    <xf numFmtId="3" fontId="0" fillId="0" borderId="0" xfId="0" applyNumberFormat="1" applyBorder="1" applyAlignment="1" applyProtection="1">
      <alignment horizontal="right" indent="1"/>
    </xf>
    <xf numFmtId="1" fontId="7" fillId="0" borderId="0" xfId="0" applyNumberFormat="1" applyFont="1" applyBorder="1" applyAlignment="1" applyProtection="1">
      <alignment horizontal="right" indent="2"/>
    </xf>
    <xf numFmtId="3" fontId="0" fillId="0" borderId="6" xfId="0" applyNumberFormat="1" applyBorder="1" applyAlignment="1" applyProtection="1">
      <alignment horizontal="right" indent="1"/>
    </xf>
    <xf numFmtId="0" fontId="1" fillId="0" borderId="3" xfId="0" applyFont="1" applyBorder="1" applyAlignment="1" applyProtection="1">
      <alignment horizontal="left"/>
    </xf>
    <xf numFmtId="0" fontId="17" fillId="0" borderId="0" xfId="0" applyFont="1" applyProtection="1"/>
    <xf numFmtId="165" fontId="0" fillId="0" borderId="0" xfId="0" applyNumberFormat="1" applyProtection="1"/>
    <xf numFmtId="0" fontId="0" fillId="0" borderId="0" xfId="0" applyFill="1" applyBorder="1" applyAlignment="1" applyProtection="1">
      <alignment horizontal="right" indent="1"/>
    </xf>
    <xf numFmtId="0" fontId="11" fillId="0" borderId="0" xfId="0" applyFont="1" applyBorder="1" applyAlignment="1" applyProtection="1"/>
    <xf numFmtId="0" fontId="15" fillId="0" borderId="0" xfId="0" applyFont="1" applyBorder="1" applyProtection="1"/>
    <xf numFmtId="3" fontId="0" fillId="0" borderId="0" xfId="0" applyNumberFormat="1" applyBorder="1" applyAlignment="1" applyProtection="1"/>
    <xf numFmtId="165" fontId="0" fillId="0" borderId="0" xfId="0" applyNumberFormat="1" applyAlignment="1" applyProtection="1"/>
    <xf numFmtId="164" fontId="0" fillId="0" borderId="0" xfId="0" applyNumberFormat="1" applyBorder="1" applyProtection="1"/>
    <xf numFmtId="0" fontId="17" fillId="0" borderId="0" xfId="0" applyFont="1" applyBorder="1" applyProtection="1"/>
    <xf numFmtId="0" fontId="14" fillId="0" borderId="0" xfId="0" applyFont="1" applyBorder="1" applyAlignment="1" applyProtection="1"/>
    <xf numFmtId="1" fontId="2" fillId="0" borderId="0" xfId="0" applyNumberFormat="1" applyFont="1" applyBorder="1" applyAlignment="1" applyProtection="1">
      <alignment horizontal="right" indent="2"/>
    </xf>
    <xf numFmtId="3" fontId="0" fillId="0" borderId="0" xfId="0" applyNumberFormat="1" applyBorder="1" applyAlignment="1" applyProtection="1">
      <alignment horizontal="right" indent="2"/>
    </xf>
    <xf numFmtId="0" fontId="2" fillId="0" borderId="0" xfId="0" applyFont="1" applyBorder="1" applyAlignment="1" applyProtection="1">
      <alignment vertical="top" wrapText="1"/>
    </xf>
    <xf numFmtId="0" fontId="2" fillId="0" borderId="5" xfId="0" applyFont="1" applyBorder="1" applyAlignment="1" applyProtection="1">
      <alignment vertical="top" wrapText="1"/>
    </xf>
    <xf numFmtId="3" fontId="0" fillId="0" borderId="6" xfId="0" applyNumberFormat="1" applyBorder="1" applyAlignment="1" applyProtection="1">
      <alignment horizontal="right" indent="2"/>
    </xf>
    <xf numFmtId="2" fontId="0" fillId="0" borderId="0" xfId="0" applyNumberFormat="1" applyBorder="1" applyProtection="1"/>
    <xf numFmtId="0" fontId="2" fillId="0" borderId="0" xfId="0" applyFont="1" applyBorder="1" applyAlignment="1" applyProtection="1">
      <alignment horizontal="center"/>
    </xf>
    <xf numFmtId="0" fontId="19" fillId="0" borderId="0" xfId="0" applyFont="1" applyAlignment="1">
      <alignment horizontal="center"/>
    </xf>
    <xf numFmtId="0" fontId="31" fillId="0" borderId="15" xfId="0" applyFont="1" applyBorder="1" applyAlignment="1"/>
    <xf numFmtId="0" fontId="27" fillId="0" borderId="0" xfId="0" applyFont="1" applyAlignment="1">
      <alignment horizontal="left" vertical="top" wrapText="1"/>
    </xf>
    <xf numFmtId="0" fontId="25" fillId="0" borderId="0" xfId="0" applyFont="1" applyAlignment="1">
      <alignment horizontal="left" vertical="top" wrapText="1"/>
    </xf>
    <xf numFmtId="0" fontId="20" fillId="0" borderId="0" xfId="0" applyFont="1" applyAlignment="1">
      <alignment horizontal="left" vertical="top" wrapText="1"/>
    </xf>
    <xf numFmtId="0" fontId="29" fillId="0" borderId="0" xfId="0" applyFont="1" applyAlignment="1">
      <alignment horizontal="left" vertical="top" wrapText="1"/>
    </xf>
    <xf numFmtId="0" fontId="30" fillId="0" borderId="0" xfId="2" applyFont="1" applyAlignment="1" applyProtection="1">
      <alignment horizontal="left" vertical="top" wrapText="1" indent="1"/>
    </xf>
    <xf numFmtId="0" fontId="26" fillId="0" borderId="0" xfId="0" applyFont="1" applyAlignment="1">
      <alignment horizontal="left" vertical="top" wrapText="1"/>
    </xf>
    <xf numFmtId="0" fontId="23" fillId="0" borderId="0" xfId="0" applyFont="1" applyAlignment="1">
      <alignment horizontal="left" vertical="top" wrapText="1"/>
    </xf>
    <xf numFmtId="0" fontId="20" fillId="0" borderId="0" xfId="0" applyFont="1" applyAlignment="1">
      <alignment vertical="top"/>
    </xf>
    <xf numFmtId="0" fontId="1" fillId="0" borderId="21"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22"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2" fillId="0" borderId="0"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0" fillId="3" borderId="18" xfId="0" applyFill="1" applyBorder="1" applyAlignment="1" applyProtection="1">
      <alignment horizontal="center"/>
    </xf>
    <xf numFmtId="0" fontId="0" fillId="3" borderId="19" xfId="0" applyFill="1" applyBorder="1" applyAlignment="1" applyProtection="1">
      <alignment horizontal="center"/>
    </xf>
    <xf numFmtId="0" fontId="0" fillId="3" borderId="20" xfId="0" applyFill="1" applyBorder="1" applyAlignment="1" applyProtection="1">
      <alignment horizontal="center"/>
    </xf>
    <xf numFmtId="0" fontId="0" fillId="3" borderId="31" xfId="0" applyFill="1" applyBorder="1" applyAlignment="1" applyProtection="1">
      <alignment horizontal="center"/>
    </xf>
    <xf numFmtId="0" fontId="0" fillId="3" borderId="32" xfId="0" applyFill="1" applyBorder="1" applyAlignment="1" applyProtection="1">
      <alignment horizontal="center"/>
    </xf>
    <xf numFmtId="49" fontId="0" fillId="2" borderId="2" xfId="0" applyNumberFormat="1" applyFill="1" applyBorder="1" applyAlignment="1" applyProtection="1">
      <alignment horizontal="left" vertical="top"/>
      <protection locked="0"/>
    </xf>
    <xf numFmtId="49" fontId="0" fillId="2" borderId="3" xfId="0" applyNumberFormat="1" applyFill="1" applyBorder="1" applyAlignment="1" applyProtection="1">
      <alignment horizontal="left" vertical="top"/>
      <protection locked="0"/>
    </xf>
    <xf numFmtId="49" fontId="0" fillId="2" borderId="4" xfId="0" applyNumberFormat="1" applyFill="1" applyBorder="1" applyAlignment="1" applyProtection="1">
      <alignment horizontal="left" vertical="top"/>
      <protection locked="0"/>
    </xf>
    <xf numFmtId="49" fontId="0" fillId="2" borderId="21" xfId="0" applyNumberFormat="1" applyFill="1" applyBorder="1" applyAlignment="1" applyProtection="1">
      <alignment horizontal="left" vertical="top"/>
      <protection locked="0"/>
    </xf>
    <xf numFmtId="49" fontId="0" fillId="2" borderId="0" xfId="0" applyNumberFormat="1" applyFill="1" applyBorder="1" applyAlignment="1" applyProtection="1">
      <alignment horizontal="left" vertical="top"/>
      <protection locked="0"/>
    </xf>
    <xf numFmtId="49" fontId="0" fillId="2" borderId="5" xfId="0" applyNumberFormat="1" applyFill="1" applyBorder="1" applyAlignment="1" applyProtection="1">
      <alignment horizontal="left" vertical="top"/>
      <protection locked="0"/>
    </xf>
    <xf numFmtId="49" fontId="0" fillId="2" borderId="22" xfId="0" applyNumberFormat="1" applyFill="1" applyBorder="1" applyAlignment="1" applyProtection="1">
      <alignment horizontal="left" vertical="top"/>
      <protection locked="0"/>
    </xf>
    <xf numFmtId="49" fontId="0" fillId="2" borderId="6" xfId="0" applyNumberFormat="1" applyFill="1" applyBorder="1" applyAlignment="1" applyProtection="1">
      <alignment horizontal="left" vertical="top"/>
      <protection locked="0"/>
    </xf>
    <xf numFmtId="49" fontId="0" fillId="2" borderId="7" xfId="0" applyNumberFormat="1" applyFill="1" applyBorder="1" applyAlignment="1" applyProtection="1">
      <alignment horizontal="left" vertical="top"/>
      <protection locked="0"/>
    </xf>
    <xf numFmtId="49" fontId="0" fillId="2" borderId="33" xfId="0" applyNumberFormat="1" applyFill="1" applyBorder="1" applyAlignment="1" applyProtection="1">
      <alignment horizontal="left" wrapText="1"/>
      <protection locked="0"/>
    </xf>
    <xf numFmtId="49" fontId="0" fillId="2" borderId="34" xfId="0" applyNumberFormat="1" applyFill="1" applyBorder="1" applyAlignment="1" applyProtection="1">
      <alignment horizontal="left" wrapText="1"/>
      <protection locked="0"/>
    </xf>
    <xf numFmtId="49" fontId="0" fillId="2" borderId="33" xfId="0" applyNumberFormat="1" applyFill="1" applyBorder="1" applyAlignment="1" applyProtection="1">
      <alignment horizontal="left"/>
      <protection locked="0"/>
    </xf>
    <xf numFmtId="49" fontId="0" fillId="2" borderId="34" xfId="0" applyNumberFormat="1" applyFill="1" applyBorder="1" applyAlignment="1" applyProtection="1">
      <alignment horizontal="left"/>
      <protection locked="0"/>
    </xf>
  </cellXfs>
  <cellStyles count="4">
    <cellStyle name="Comma" xfId="1" builtinId="3"/>
    <cellStyle name="Hyperlink" xfId="2" builtinId="8"/>
    <cellStyle name="Normal" xfId="0" builtinId="0"/>
    <cellStyle name="Percent" xfId="3" builtinId="5"/>
  </cellStyles>
  <dxfs count="5">
    <dxf>
      <font>
        <b/>
        <i val="0"/>
        <color indexed="10"/>
      </font>
    </dxf>
    <dxf>
      <font>
        <b/>
        <i val="0"/>
        <color rgb="FFFCA904"/>
      </font>
    </dxf>
    <dxf>
      <font>
        <color auto="1"/>
      </font>
    </dxf>
    <dxf>
      <font>
        <condense val="0"/>
        <extend val="0"/>
        <color indexed="10"/>
      </font>
    </dxf>
    <dxf>
      <font>
        <condense val="0"/>
        <extend val="0"/>
        <color auto="1"/>
      </font>
    </dxf>
  </dxfs>
  <tableStyles count="0" defaultTableStyle="TableStyleMedium2" defaultPivotStyle="PivotStyleLight16"/>
  <colors>
    <mruColors>
      <color rgb="FFCCFFCC"/>
      <color rgb="FFFCA9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Drop" dropStyle="combo" dx="16" fmlaLink="Hidden!$D$22" fmlaRange="Hidden!$B$4:$B$10" noThreeD="1" sel="2" val="0"/>
</file>

<file path=xl/ctrlProps/ctrlProp2.xml><?xml version="1.0" encoding="utf-8"?>
<formControlPr xmlns="http://schemas.microsoft.com/office/spreadsheetml/2009/9/main" objectType="Drop" dropStyle="combo" dx="16" fmlaLink="Hidden!$D$21" fmlaRange="Hidden!$B$13:$B$17" noThreeD="1" sel="1" val="0"/>
</file>

<file path=xl/ctrlProps/ctrlProp3.xml><?xml version="1.0" encoding="utf-8"?>
<formControlPr xmlns="http://schemas.microsoft.com/office/spreadsheetml/2009/9/main" objectType="Drop" dropStyle="combo" dx="16" fmlaLink="Hidden!$D$23" fmlaRange="Hidden!$B$4:$B$10" noThreeD="1" sel="3" val="0"/>
</file>

<file path=xl/ctrlProps/ctrlProp4.xml><?xml version="1.0" encoding="utf-8"?>
<formControlPr xmlns="http://schemas.microsoft.com/office/spreadsheetml/2009/9/main" objectType="Drop" dropStyle="combo" dx="16" fmlaLink="Hidden!$D$24" fmlaRange="Hidden!$B$4:$B$10" noThreeD="1" sel="4"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485775</xdr:colOff>
          <xdr:row>6</xdr:row>
          <xdr:rowOff>9525</xdr:rowOff>
        </xdr:from>
        <xdr:to>
          <xdr:col>5</xdr:col>
          <xdr:colOff>781050</xdr:colOff>
          <xdr:row>6</xdr:row>
          <xdr:rowOff>209550</xdr:rowOff>
        </xdr:to>
        <xdr:sp macro="" textlink="">
          <xdr:nvSpPr>
            <xdr:cNvPr id="9353" name="Drop Down 137" hidden="1">
              <a:extLst>
                <a:ext uri="{63B3BB69-23CF-44E3-9099-C40C66FF867C}">
                  <a14:compatExt spid="_x0000_s9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762000</xdr:colOff>
          <xdr:row>6</xdr:row>
          <xdr:rowOff>9525</xdr:rowOff>
        </xdr:from>
        <xdr:to>
          <xdr:col>10</xdr:col>
          <xdr:colOff>666750</xdr:colOff>
          <xdr:row>6</xdr:row>
          <xdr:rowOff>238125</xdr:rowOff>
        </xdr:to>
        <xdr:sp macro="" textlink="">
          <xdr:nvSpPr>
            <xdr:cNvPr id="9354" name="Drop Down 138" hidden="1">
              <a:extLst>
                <a:ext uri="{63B3BB69-23CF-44E3-9099-C40C66FF867C}">
                  <a14:compatExt spid="_x0000_s9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7</xdr:row>
          <xdr:rowOff>28575</xdr:rowOff>
        </xdr:from>
        <xdr:to>
          <xdr:col>5</xdr:col>
          <xdr:colOff>771525</xdr:colOff>
          <xdr:row>7</xdr:row>
          <xdr:rowOff>228600</xdr:rowOff>
        </xdr:to>
        <xdr:sp macro="" textlink="">
          <xdr:nvSpPr>
            <xdr:cNvPr id="9413" name="Drop Down 197" hidden="1">
              <a:extLst>
                <a:ext uri="{63B3BB69-23CF-44E3-9099-C40C66FF867C}">
                  <a14:compatExt spid="_x0000_s9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8</xdr:row>
          <xdr:rowOff>38100</xdr:rowOff>
        </xdr:from>
        <xdr:to>
          <xdr:col>5</xdr:col>
          <xdr:colOff>771525</xdr:colOff>
          <xdr:row>8</xdr:row>
          <xdr:rowOff>238125</xdr:rowOff>
        </xdr:to>
        <xdr:sp macro="" textlink="">
          <xdr:nvSpPr>
            <xdr:cNvPr id="9414" name="Drop Down 198" hidden="1">
              <a:extLst>
                <a:ext uri="{63B3BB69-23CF-44E3-9099-C40C66FF867C}">
                  <a14:compatExt spid="_x0000_s9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su.edu/~rozeboom/"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68"/>
  <sheetViews>
    <sheetView showGridLines="0" showRowColHeaders="0" workbookViewId="0">
      <selection activeCell="B67" sqref="B67"/>
    </sheetView>
  </sheetViews>
  <sheetFormatPr defaultRowHeight="12.75" x14ac:dyDescent="0.2"/>
  <cols>
    <col min="1" max="1" width="2" customWidth="1"/>
    <col min="2" max="2" width="26" customWidth="1"/>
    <col min="3" max="3" width="94.85546875" customWidth="1"/>
  </cols>
  <sheetData>
    <row r="1" spans="1:3" ht="4.5" customHeight="1" x14ac:dyDescent="0.2"/>
    <row r="2" spans="1:3" ht="22.5" x14ac:dyDescent="0.3">
      <c r="B2" s="189" t="s">
        <v>213</v>
      </c>
      <c r="C2" s="189"/>
    </row>
    <row r="3" spans="1:3" ht="22.5" x14ac:dyDescent="0.3">
      <c r="B3" s="189" t="s">
        <v>221</v>
      </c>
      <c r="C3" s="189"/>
    </row>
    <row r="4" spans="1:3" ht="10.5" customHeight="1" x14ac:dyDescent="0.2">
      <c r="A4" s="1"/>
      <c r="B4" s="5"/>
    </row>
    <row r="5" spans="1:3" ht="15.75" x14ac:dyDescent="0.2">
      <c r="A5" s="1"/>
      <c r="B5" s="197" t="s">
        <v>140</v>
      </c>
      <c r="C5" s="197"/>
    </row>
    <row r="6" spans="1:3" ht="71.25" customHeight="1" x14ac:dyDescent="0.2">
      <c r="A6" s="1"/>
      <c r="B6" s="193" t="s">
        <v>214</v>
      </c>
      <c r="C6" s="192"/>
    </row>
    <row r="7" spans="1:3" ht="52.5" customHeight="1" x14ac:dyDescent="0.2">
      <c r="A7" s="1"/>
      <c r="B7" s="192" t="s">
        <v>141</v>
      </c>
      <c r="C7" s="192"/>
    </row>
    <row r="8" spans="1:3" ht="80.25" customHeight="1" x14ac:dyDescent="0.2">
      <c r="B8" s="193" t="s">
        <v>215</v>
      </c>
      <c r="C8" s="192"/>
    </row>
    <row r="9" spans="1:3" ht="18.600000000000001" customHeight="1" x14ac:dyDescent="0.2">
      <c r="B9" s="198" t="s">
        <v>191</v>
      </c>
      <c r="C9" s="198"/>
    </row>
    <row r="10" spans="1:3" ht="15" x14ac:dyDescent="0.2">
      <c r="B10" s="5"/>
    </row>
    <row r="11" spans="1:3" ht="21" customHeight="1" x14ac:dyDescent="0.2">
      <c r="A11" s="1"/>
      <c r="B11" s="197" t="s">
        <v>142</v>
      </c>
      <c r="C11" s="197"/>
    </row>
    <row r="12" spans="1:3" ht="116.25" hidden="1" customHeight="1" x14ac:dyDescent="0.2">
      <c r="A12" s="1"/>
      <c r="B12" s="193" t="s">
        <v>190</v>
      </c>
      <c r="C12" s="193"/>
    </row>
    <row r="13" spans="1:3" ht="109.5" customHeight="1" x14ac:dyDescent="0.2">
      <c r="B13" s="193" t="s">
        <v>222</v>
      </c>
      <c r="C13" s="193"/>
    </row>
    <row r="14" spans="1:3" ht="15" x14ac:dyDescent="0.2">
      <c r="B14" s="5"/>
    </row>
    <row r="15" spans="1:3" ht="19.5" customHeight="1" x14ac:dyDescent="0.2">
      <c r="A15" s="1"/>
      <c r="B15" s="197" t="s">
        <v>143</v>
      </c>
      <c r="C15" s="197"/>
    </row>
    <row r="16" spans="1:3" ht="114.75" customHeight="1" x14ac:dyDescent="0.2">
      <c r="B16" s="192" t="s">
        <v>144</v>
      </c>
      <c r="C16" s="192"/>
    </row>
    <row r="17" spans="2:3" ht="27.75" customHeight="1" x14ac:dyDescent="0.2">
      <c r="B17" s="192" t="s">
        <v>145</v>
      </c>
      <c r="C17" s="192"/>
    </row>
    <row r="18" spans="2:3" ht="18.75" customHeight="1" x14ac:dyDescent="0.2">
      <c r="B18" s="192" t="s">
        <v>146</v>
      </c>
      <c r="C18" s="192"/>
    </row>
    <row r="19" spans="2:3" ht="19.5" customHeight="1" x14ac:dyDescent="0.2">
      <c r="B19" s="196" t="s">
        <v>147</v>
      </c>
      <c r="C19" s="196"/>
    </row>
    <row r="20" spans="2:3" ht="51" customHeight="1" x14ac:dyDescent="0.2">
      <c r="B20" s="196" t="s">
        <v>148</v>
      </c>
      <c r="C20" s="196"/>
    </row>
    <row r="21" spans="2:3" ht="15" customHeight="1" x14ac:dyDescent="0.2">
      <c r="B21" s="7"/>
    </row>
    <row r="22" spans="2:3" ht="17.25" customHeight="1" x14ac:dyDescent="0.2">
      <c r="B22" s="194" t="s">
        <v>155</v>
      </c>
      <c r="C22" s="194"/>
    </row>
    <row r="23" spans="2:3" ht="21.75" customHeight="1" x14ac:dyDescent="0.2">
      <c r="B23" s="192" t="s">
        <v>149</v>
      </c>
      <c r="C23" s="192"/>
    </row>
    <row r="24" spans="2:3" ht="21.75" customHeight="1" x14ac:dyDescent="0.2">
      <c r="B24" s="191" t="s">
        <v>150</v>
      </c>
      <c r="C24" s="191"/>
    </row>
    <row r="25" spans="2:3" ht="66.75" customHeight="1" x14ac:dyDescent="0.2">
      <c r="B25" s="191" t="s">
        <v>151</v>
      </c>
      <c r="C25" s="191"/>
    </row>
    <row r="26" spans="2:3" ht="68.25" customHeight="1" x14ac:dyDescent="0.2">
      <c r="B26" s="192" t="s">
        <v>153</v>
      </c>
      <c r="C26" s="192"/>
    </row>
    <row r="27" spans="2:3" ht="23.25" customHeight="1" x14ac:dyDescent="0.2">
      <c r="B27" s="195" t="s">
        <v>152</v>
      </c>
      <c r="C27" s="195"/>
    </row>
    <row r="28" spans="2:3" ht="88.5" customHeight="1" x14ac:dyDescent="0.2">
      <c r="B28" s="191" t="s">
        <v>216</v>
      </c>
      <c r="C28" s="191"/>
    </row>
    <row r="29" spans="2:3" x14ac:dyDescent="0.2">
      <c r="B29" s="6"/>
    </row>
    <row r="30" spans="2:3" ht="17.25" customHeight="1" x14ac:dyDescent="0.2">
      <c r="B30" s="194" t="s">
        <v>154</v>
      </c>
      <c r="C30" s="194"/>
    </row>
    <row r="31" spans="2:3" ht="35.25" customHeight="1" x14ac:dyDescent="0.2">
      <c r="B31" s="193" t="s">
        <v>217</v>
      </c>
      <c r="C31" s="192"/>
    </row>
    <row r="32" spans="2:3" ht="48.75" customHeight="1" x14ac:dyDescent="0.2">
      <c r="B32" s="192" t="s">
        <v>156</v>
      </c>
      <c r="C32" s="192"/>
    </row>
    <row r="33" spans="2:3" x14ac:dyDescent="0.2">
      <c r="B33" s="6"/>
    </row>
    <row r="34" spans="2:3" ht="17.25" customHeight="1" x14ac:dyDescent="0.2">
      <c r="B34" s="194" t="s">
        <v>157</v>
      </c>
      <c r="C34" s="194"/>
    </row>
    <row r="35" spans="2:3" ht="36" customHeight="1" x14ac:dyDescent="0.2">
      <c r="B35" s="192" t="s">
        <v>158</v>
      </c>
      <c r="C35" s="192"/>
    </row>
    <row r="36" spans="2:3" ht="81.75" customHeight="1" x14ac:dyDescent="0.2">
      <c r="B36" s="192" t="s">
        <v>159</v>
      </c>
      <c r="C36" s="192"/>
    </row>
    <row r="37" spans="2:3" ht="67.5" customHeight="1" x14ac:dyDescent="0.2">
      <c r="B37" s="191" t="s">
        <v>160</v>
      </c>
      <c r="C37" s="191"/>
    </row>
    <row r="38" spans="2:3" ht="51" customHeight="1" x14ac:dyDescent="0.2">
      <c r="B38" s="191" t="s">
        <v>161</v>
      </c>
      <c r="C38" s="191"/>
    </row>
    <row r="39" spans="2:3" ht="71.25" customHeight="1" x14ac:dyDescent="0.2">
      <c r="B39" s="191" t="s">
        <v>162</v>
      </c>
      <c r="C39" s="191"/>
    </row>
    <row r="40" spans="2:3" ht="21" customHeight="1" thickBot="1" x14ac:dyDescent="0.3">
      <c r="B40" s="190" t="s">
        <v>163</v>
      </c>
      <c r="C40" s="190"/>
    </row>
    <row r="41" spans="2:3" ht="33.75" customHeight="1" x14ac:dyDescent="0.2">
      <c r="B41" s="15" t="s">
        <v>164</v>
      </c>
      <c r="C41" s="9" t="s">
        <v>165</v>
      </c>
    </row>
    <row r="42" spans="2:3" ht="15.75" x14ac:dyDescent="0.2">
      <c r="B42" s="13" t="s">
        <v>166</v>
      </c>
      <c r="C42" s="14">
        <v>1</v>
      </c>
    </row>
    <row r="43" spans="2:3" ht="15.75" x14ac:dyDescent="0.2">
      <c r="B43" s="11" t="s">
        <v>167</v>
      </c>
      <c r="C43" s="12">
        <v>1</v>
      </c>
    </row>
    <row r="44" spans="2:3" ht="15.75" x14ac:dyDescent="0.2">
      <c r="B44" s="13" t="s">
        <v>168</v>
      </c>
      <c r="C44" s="14">
        <v>2</v>
      </c>
    </row>
    <row r="45" spans="2:3" ht="15.75" x14ac:dyDescent="0.2">
      <c r="B45" s="13" t="s">
        <v>169</v>
      </c>
      <c r="C45" s="14">
        <v>2</v>
      </c>
    </row>
    <row r="46" spans="2:3" ht="16.5" thickBot="1" x14ac:dyDescent="0.25">
      <c r="B46" s="10" t="s">
        <v>170</v>
      </c>
      <c r="C46" s="8">
        <v>2</v>
      </c>
    </row>
    <row r="47" spans="2:3" x14ac:dyDescent="0.2">
      <c r="B47" s="6"/>
    </row>
    <row r="48" spans="2:3" ht="63.75" customHeight="1" x14ac:dyDescent="0.2">
      <c r="B48" s="192" t="s">
        <v>171</v>
      </c>
      <c r="C48" s="192"/>
    </row>
    <row r="49" spans="2:3" ht="52.5" customHeight="1" x14ac:dyDescent="0.2">
      <c r="B49" s="191" t="s">
        <v>172</v>
      </c>
      <c r="C49" s="191"/>
    </row>
    <row r="50" spans="2:3" ht="138.75" customHeight="1" x14ac:dyDescent="0.2">
      <c r="B50" s="193" t="s">
        <v>218</v>
      </c>
      <c r="C50" s="191"/>
    </row>
    <row r="51" spans="2:3" ht="20.25" customHeight="1" x14ac:dyDescent="0.2">
      <c r="B51" s="191" t="s">
        <v>173</v>
      </c>
      <c r="C51" s="191"/>
    </row>
    <row r="53" spans="2:3" ht="15.75" x14ac:dyDescent="0.25">
      <c r="B53" s="19" t="s">
        <v>205</v>
      </c>
    </row>
    <row r="54" spans="2:3" ht="15" x14ac:dyDescent="0.2">
      <c r="B54" s="18" t="s">
        <v>206</v>
      </c>
    </row>
    <row r="55" spans="2:3" ht="15" x14ac:dyDescent="0.2">
      <c r="B55" s="18"/>
    </row>
    <row r="56" spans="2:3" ht="15" x14ac:dyDescent="0.2">
      <c r="B56" s="18" t="s">
        <v>220</v>
      </c>
    </row>
    <row r="57" spans="2:3" ht="15" x14ac:dyDescent="0.2">
      <c r="B57" s="18" t="s">
        <v>208</v>
      </c>
    </row>
    <row r="58" spans="2:3" ht="15" x14ac:dyDescent="0.2">
      <c r="B58" s="18" t="s">
        <v>212</v>
      </c>
    </row>
    <row r="59" spans="2:3" ht="15" x14ac:dyDescent="0.2">
      <c r="B59" s="18"/>
    </row>
    <row r="60" spans="2:3" ht="15" x14ac:dyDescent="0.2">
      <c r="B60" s="18" t="s">
        <v>209</v>
      </c>
    </row>
    <row r="61" spans="2:3" ht="15" x14ac:dyDescent="0.2">
      <c r="B61" s="18" t="s">
        <v>219</v>
      </c>
    </row>
    <row r="62" spans="2:3" ht="15" x14ac:dyDescent="0.2">
      <c r="B62" s="18" t="s">
        <v>210</v>
      </c>
    </row>
    <row r="63" spans="2:3" ht="15" x14ac:dyDescent="0.2">
      <c r="B63" s="18" t="s">
        <v>211</v>
      </c>
    </row>
    <row r="64" spans="2:3" ht="15" x14ac:dyDescent="0.2">
      <c r="B64" s="18"/>
    </row>
    <row r="65" spans="2:2" ht="15" x14ac:dyDescent="0.2">
      <c r="B65" s="18" t="s">
        <v>223</v>
      </c>
    </row>
    <row r="66" spans="2:2" ht="15" x14ac:dyDescent="0.2">
      <c r="B66" s="18" t="s">
        <v>224</v>
      </c>
    </row>
    <row r="67" spans="2:2" ht="15" x14ac:dyDescent="0.2">
      <c r="B67" s="18"/>
    </row>
    <row r="68" spans="2:2" ht="15" x14ac:dyDescent="0.2">
      <c r="B68" s="18"/>
    </row>
  </sheetData>
  <sheetProtection algorithmName="SHA-512" hashValue="u67FnpVzHA8BgqJuiiR2MZkGRrabA0aa3P2Xfp9gaiu/ioQLCBtHiXWmhYlC6wZGZOawylKfjylDN5pO+8CcEg==" saltValue="uwmlSMG2zgqtcpozCEaqNA==" spinCount="100000" sheet="1" objects="1" scenarios="1" selectLockedCells="1" selectUnlockedCells="1"/>
  <mergeCells count="37">
    <mergeCell ref="B17:C17"/>
    <mergeCell ref="B18:C18"/>
    <mergeCell ref="B19:C19"/>
    <mergeCell ref="B20:C20"/>
    <mergeCell ref="B3:C3"/>
    <mergeCell ref="B11:C11"/>
    <mergeCell ref="B15:C15"/>
    <mergeCell ref="B16:C16"/>
    <mergeCell ref="B5:C5"/>
    <mergeCell ref="B6:C6"/>
    <mergeCell ref="B7:C7"/>
    <mergeCell ref="B8:C8"/>
    <mergeCell ref="B12:C12"/>
    <mergeCell ref="B13:C13"/>
    <mergeCell ref="B9:C9"/>
    <mergeCell ref="B28:C28"/>
    <mergeCell ref="B30:C30"/>
    <mergeCell ref="B22:C22"/>
    <mergeCell ref="B23:C23"/>
    <mergeCell ref="B24:C24"/>
    <mergeCell ref="B25:C25"/>
    <mergeCell ref="B2:C2"/>
    <mergeCell ref="B40:C40"/>
    <mergeCell ref="B51:C51"/>
    <mergeCell ref="B49:C49"/>
    <mergeCell ref="B48:C48"/>
    <mergeCell ref="B36:C36"/>
    <mergeCell ref="B37:C37"/>
    <mergeCell ref="B38:C38"/>
    <mergeCell ref="B39:C39"/>
    <mergeCell ref="B31:C31"/>
    <mergeCell ref="B32:C32"/>
    <mergeCell ref="B34:C34"/>
    <mergeCell ref="B35:C35"/>
    <mergeCell ref="B26:C26"/>
    <mergeCell ref="B27:C27"/>
    <mergeCell ref="B50:C50"/>
  </mergeCells>
  <phoneticPr fontId="3" type="noConversion"/>
  <hyperlinks>
    <hyperlink ref="B27" r:id="rId1"/>
  </hyperlinks>
  <pageMargins left="0.5" right="0.5" top="1" bottom="0.75" header="0" footer="0"/>
  <pageSetup scale="78" fitToHeight="2"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pageSetUpPr fitToPage="1"/>
  </sheetPr>
  <dimension ref="A1:AD210"/>
  <sheetViews>
    <sheetView showGridLines="0" tabSelected="1" zoomScaleNormal="100" workbookViewId="0">
      <selection activeCell="F79" sqref="F79"/>
    </sheetView>
  </sheetViews>
  <sheetFormatPr defaultRowHeight="12.75" x14ac:dyDescent="0.2"/>
  <cols>
    <col min="1" max="2" width="1.85546875" style="38" customWidth="1"/>
    <col min="3" max="3" width="10.7109375" style="38" customWidth="1"/>
    <col min="4" max="4" width="13" style="38" customWidth="1"/>
    <col min="5" max="5" width="15.7109375" style="38" customWidth="1"/>
    <col min="6" max="6" width="13" style="38" customWidth="1"/>
    <col min="7" max="7" width="10.7109375" style="38" customWidth="1"/>
    <col min="8" max="8" width="12.7109375" style="38" customWidth="1"/>
    <col min="9" max="9" width="13.28515625" style="38" customWidth="1"/>
    <col min="10" max="11" width="12.7109375" style="38" customWidth="1"/>
    <col min="12" max="12" width="20.85546875" style="38" customWidth="1"/>
    <col min="13" max="13" width="10.140625" style="38" customWidth="1"/>
    <col min="14" max="14" width="18.7109375" style="38" hidden="1" customWidth="1"/>
    <col min="15" max="15" width="10.7109375" style="38" hidden="1" customWidth="1"/>
    <col min="16" max="16" width="9.140625" style="38" hidden="1" customWidth="1"/>
    <col min="17" max="17" width="9.7109375" style="38" hidden="1" customWidth="1"/>
    <col min="18" max="18" width="9.140625" style="38" hidden="1" customWidth="1"/>
    <col min="19" max="19" width="13" style="38" hidden="1" customWidth="1"/>
    <col min="20" max="20" width="17.5703125" style="38" hidden="1" customWidth="1"/>
    <col min="21" max="21" width="9.140625" style="38" hidden="1" customWidth="1"/>
    <col min="22" max="22" width="11" style="38" hidden="1" customWidth="1"/>
    <col min="23" max="23" width="9.140625" style="38" hidden="1" customWidth="1"/>
    <col min="24" max="24" width="17" style="38" hidden="1" customWidth="1"/>
    <col min="25" max="26" width="9.140625" style="38" hidden="1" customWidth="1"/>
    <col min="27" max="27" width="19" style="38" hidden="1" customWidth="1"/>
    <col min="28" max="29" width="9.140625" style="38" customWidth="1"/>
    <col min="30" max="16384" width="9.140625" style="38"/>
  </cols>
  <sheetData>
    <row r="1" spans="2:27" ht="19.5" customHeight="1" x14ac:dyDescent="0.25">
      <c r="G1" s="39" t="s">
        <v>139</v>
      </c>
      <c r="M1" s="40"/>
      <c r="N1" s="40"/>
      <c r="O1" s="40"/>
      <c r="P1" s="40"/>
      <c r="Q1" s="40"/>
      <c r="R1" s="40"/>
      <c r="S1" s="40"/>
      <c r="T1" s="40"/>
    </row>
    <row r="2" spans="2:27" s="41" customFormat="1" ht="8.25" customHeight="1" x14ac:dyDescent="0.2">
      <c r="C2" s="42"/>
      <c r="D2" s="42"/>
      <c r="I2" s="42"/>
      <c r="J2" s="42"/>
      <c r="K2" s="42"/>
      <c r="L2" s="42"/>
      <c r="M2" s="43"/>
      <c r="N2" s="44"/>
      <c r="O2" s="44"/>
      <c r="P2" s="44"/>
      <c r="Q2" s="44"/>
      <c r="R2" s="44"/>
      <c r="S2" s="44"/>
      <c r="T2" s="44"/>
    </row>
    <row r="3" spans="2:27" ht="15" customHeight="1" x14ac:dyDescent="0.25">
      <c r="C3" s="45" t="s">
        <v>34</v>
      </c>
      <c r="D3" s="228"/>
      <c r="E3" s="229"/>
      <c r="F3" s="46"/>
      <c r="G3" s="45" t="s">
        <v>37</v>
      </c>
      <c r="H3" s="217"/>
      <c r="I3" s="218"/>
      <c r="J3" s="219"/>
      <c r="N3" s="47" t="s">
        <v>84</v>
      </c>
      <c r="O3" s="48"/>
      <c r="P3" s="48"/>
      <c r="Q3" s="48"/>
      <c r="R3" s="48"/>
      <c r="S3" s="48"/>
      <c r="T3" s="49"/>
      <c r="AA3" s="50" t="s">
        <v>195</v>
      </c>
    </row>
    <row r="4" spans="2:27" ht="15" customHeight="1" x14ac:dyDescent="0.2">
      <c r="C4" s="51" t="s">
        <v>35</v>
      </c>
      <c r="D4" s="226"/>
      <c r="E4" s="227"/>
      <c r="G4" s="46"/>
      <c r="H4" s="220"/>
      <c r="I4" s="221"/>
      <c r="J4" s="222"/>
      <c r="O4" s="45" t="s">
        <v>102</v>
      </c>
      <c r="P4" s="52">
        <f>IF(ProducerType=1, 0, IF(ProducerType=2, $F$23,IF(ProducerType=3,$F$34,IF(ProducerType=4,$F$45,IF(ProducerType=5,$F$56,IF(ProducerType=6,$F$67,$F$74))))))</f>
        <v>0</v>
      </c>
      <c r="R4" s="40"/>
      <c r="S4" s="40"/>
      <c r="T4" s="40"/>
      <c r="U4" s="40"/>
    </row>
    <row r="5" spans="2:27" ht="15" customHeight="1" x14ac:dyDescent="0.2">
      <c r="C5" s="45" t="s">
        <v>36</v>
      </c>
      <c r="D5" s="228"/>
      <c r="E5" s="229"/>
      <c r="G5" s="46"/>
      <c r="H5" s="223"/>
      <c r="I5" s="224"/>
      <c r="J5" s="225"/>
      <c r="O5" s="45" t="s">
        <v>103</v>
      </c>
      <c r="P5" s="52">
        <f>IF(Producer2Type=1, 0, IF(Producer2Type=2, $F$23,IF(Producer2Type=3,$F$34,IF(Producer2Type=4,$F$45,IF(Producer2Type=5,$F$56,IF(Producer2Type=6,$F$67,$F$74))))))</f>
        <v>0</v>
      </c>
      <c r="R5" s="53"/>
      <c r="S5" s="53"/>
      <c r="T5" s="53"/>
      <c r="U5" s="53"/>
      <c r="V5" s="54"/>
    </row>
    <row r="6" spans="2:27" ht="12" customHeight="1" x14ac:dyDescent="0.2">
      <c r="C6" s="40"/>
      <c r="D6" s="40"/>
      <c r="E6" s="40"/>
      <c r="F6" s="40"/>
      <c r="G6" s="40"/>
      <c r="H6" s="40"/>
      <c r="I6" s="40"/>
      <c r="J6" s="40"/>
      <c r="K6" s="40"/>
      <c r="L6" s="40"/>
      <c r="O6" s="45" t="s">
        <v>104</v>
      </c>
      <c r="P6" s="52">
        <f>IF(Producer3Type=1, 0, IF(Producer3Type=2, $F$23,IF(Producer3Type=3,$F$34,IF(Producer3Type=4,$F$45,IF(Producer3Type=5,$F$56,IF(Producer3Type=6,$F$67,$F$74))))))</f>
        <v>0</v>
      </c>
      <c r="Q6" s="55"/>
      <c r="R6" s="40"/>
      <c r="S6" s="40"/>
      <c r="T6" s="40"/>
      <c r="U6" s="40"/>
    </row>
    <row r="7" spans="2:27" ht="21" customHeight="1" x14ac:dyDescent="0.2">
      <c r="C7" s="56" t="s">
        <v>105</v>
      </c>
      <c r="E7" s="40"/>
      <c r="F7" s="40"/>
      <c r="G7" s="56" t="s">
        <v>99</v>
      </c>
      <c r="H7" s="57"/>
      <c r="I7" s="40"/>
      <c r="J7" s="40"/>
      <c r="K7" s="40"/>
      <c r="O7" s="45" t="s">
        <v>28</v>
      </c>
      <c r="P7" s="52">
        <f>SUM(P4:P6)</f>
        <v>0</v>
      </c>
      <c r="Q7" s="58" t="s">
        <v>43</v>
      </c>
      <c r="R7" s="40"/>
      <c r="S7" s="40"/>
      <c r="T7" s="40"/>
      <c r="U7" s="40"/>
    </row>
    <row r="8" spans="2:27" ht="21" customHeight="1" x14ac:dyDescent="0.2">
      <c r="C8" s="56" t="s">
        <v>96</v>
      </c>
      <c r="E8" s="40"/>
      <c r="F8" s="40"/>
      <c r="G8" s="59"/>
      <c r="H8" s="57"/>
      <c r="I8" s="40"/>
      <c r="J8" s="40"/>
      <c r="K8" s="40"/>
      <c r="O8" s="60" t="s">
        <v>89</v>
      </c>
      <c r="P8" s="61">
        <f>365.25/12</f>
        <v>30.4375</v>
      </c>
      <c r="Q8" s="55"/>
      <c r="R8" s="40"/>
      <c r="S8" s="62" t="s">
        <v>58</v>
      </c>
      <c r="T8" s="63"/>
      <c r="U8" s="63"/>
      <c r="V8" s="63"/>
      <c r="W8" s="63"/>
      <c r="X8" s="64"/>
    </row>
    <row r="9" spans="2:27" ht="21" customHeight="1" x14ac:dyDescent="0.2">
      <c r="C9" s="56" t="s">
        <v>97</v>
      </c>
      <c r="E9" s="40"/>
      <c r="F9" s="40"/>
      <c r="G9" s="59"/>
      <c r="H9" s="57"/>
      <c r="I9" s="40"/>
      <c r="J9" s="40"/>
      <c r="K9" s="40"/>
      <c r="N9" s="55"/>
      <c r="O9" s="40"/>
      <c r="P9" s="40"/>
      <c r="Q9" s="40"/>
      <c r="R9" s="40"/>
      <c r="S9" s="65" t="s">
        <v>59</v>
      </c>
      <c r="T9" s="66"/>
      <c r="U9" s="67" t="s">
        <v>60</v>
      </c>
      <c r="V9" s="67"/>
      <c r="W9" s="67"/>
      <c r="X9" s="68"/>
    </row>
    <row r="10" spans="2:27" ht="15" customHeight="1" x14ac:dyDescent="0.2">
      <c r="C10" s="59"/>
      <c r="E10" s="40"/>
      <c r="F10" s="40"/>
      <c r="G10" s="59"/>
      <c r="H10" s="57"/>
      <c r="I10" s="40"/>
      <c r="J10" s="40"/>
      <c r="K10" s="40"/>
      <c r="L10" s="55"/>
      <c r="N10" s="55"/>
      <c r="O10" s="40"/>
      <c r="P10" s="40"/>
      <c r="Q10" s="40"/>
      <c r="R10" s="40"/>
      <c r="S10" s="69" t="s">
        <v>62</v>
      </c>
      <c r="T10" s="46" t="s">
        <v>64</v>
      </c>
      <c r="U10" s="46"/>
      <c r="V10" s="46"/>
      <c r="W10" s="46"/>
      <c r="X10" s="70"/>
    </row>
    <row r="11" spans="2:27" ht="15" customHeight="1" x14ac:dyDescent="0.2">
      <c r="B11" s="46"/>
      <c r="C11" s="46"/>
      <c r="D11" s="45" t="s">
        <v>18</v>
      </c>
      <c r="E11" s="22">
        <v>10</v>
      </c>
      <c r="F11" s="58" t="s">
        <v>16</v>
      </c>
      <c r="G11" s="71" t="str">
        <f>IF(TargetTissueDensity&gt;15,T12,IF(TargetTissueDensity&lt;=10,T10,T11))</f>
        <v>Animal tissue density is ok.</v>
      </c>
      <c r="J11" s="46"/>
      <c r="K11" s="46"/>
      <c r="L11" s="46"/>
      <c r="N11" s="72" t="s">
        <v>68</v>
      </c>
      <c r="S11" s="73" t="s">
        <v>189</v>
      </c>
      <c r="T11" s="58" t="s">
        <v>63</v>
      </c>
      <c r="U11" s="46"/>
      <c r="V11" s="46"/>
      <c r="W11" s="46"/>
      <c r="X11" s="70"/>
    </row>
    <row r="12" spans="2:27" ht="11.25" customHeight="1" x14ac:dyDescent="0.2">
      <c r="G12" s="46"/>
      <c r="M12" s="40"/>
      <c r="N12" s="40"/>
      <c r="O12" s="40"/>
      <c r="P12" s="40"/>
      <c r="Q12" s="40"/>
      <c r="R12" s="40"/>
      <c r="S12" s="74" t="s">
        <v>61</v>
      </c>
      <c r="T12" s="75" t="s">
        <v>69</v>
      </c>
      <c r="U12" s="75"/>
      <c r="V12" s="75"/>
      <c r="W12" s="75"/>
      <c r="X12" s="76"/>
    </row>
    <row r="13" spans="2:27" ht="15.75" x14ac:dyDescent="0.25">
      <c r="B13" s="77" t="s">
        <v>86</v>
      </c>
      <c r="C13" s="46"/>
      <c r="D13" s="77"/>
      <c r="E13" s="46"/>
      <c r="F13" s="46"/>
    </row>
    <row r="14" spans="2:27" ht="6.75" customHeight="1" thickBot="1" x14ac:dyDescent="0.3">
      <c r="B14" s="78"/>
      <c r="C14" s="79"/>
      <c r="D14" s="80"/>
      <c r="E14" s="79"/>
      <c r="F14" s="79"/>
      <c r="G14" s="79"/>
      <c r="H14" s="79"/>
      <c r="I14" s="79"/>
      <c r="J14" s="79"/>
      <c r="K14" s="79"/>
      <c r="L14" s="81"/>
    </row>
    <row r="15" spans="2:27" ht="27" customHeight="1" x14ac:dyDescent="0.2">
      <c r="B15" s="82"/>
      <c r="C15" s="83"/>
      <c r="D15" s="84" t="s">
        <v>10</v>
      </c>
      <c r="E15" s="85"/>
      <c r="F15" s="86" t="s">
        <v>9</v>
      </c>
      <c r="G15" s="86" t="s">
        <v>8</v>
      </c>
      <c r="H15" s="86" t="s">
        <v>0</v>
      </c>
      <c r="I15" s="86" t="s">
        <v>1</v>
      </c>
      <c r="J15" s="87" t="s">
        <v>2</v>
      </c>
      <c r="K15" s="46"/>
      <c r="L15" s="70"/>
    </row>
    <row r="16" spans="2:27" ht="14.1" customHeight="1" x14ac:dyDescent="0.2">
      <c r="B16" s="82"/>
      <c r="C16" s="88"/>
      <c r="D16" s="89"/>
      <c r="E16" s="90" t="s">
        <v>198</v>
      </c>
      <c r="F16" s="23">
        <v>0</v>
      </c>
      <c r="G16" s="91"/>
      <c r="H16" s="91"/>
      <c r="I16" s="91"/>
      <c r="J16" s="92"/>
      <c r="K16" s="46"/>
      <c r="L16" s="70"/>
    </row>
    <row r="17" spans="2:14" ht="14.1" customHeight="1" x14ac:dyDescent="0.2">
      <c r="B17" s="82"/>
      <c r="C17" s="88"/>
      <c r="D17" s="89"/>
      <c r="E17" s="45" t="s">
        <v>24</v>
      </c>
      <c r="F17" s="22">
        <v>11</v>
      </c>
      <c r="G17" s="91"/>
      <c r="H17" s="91"/>
      <c r="I17" s="91"/>
      <c r="J17" s="92"/>
      <c r="K17" s="46"/>
      <c r="L17" s="70"/>
    </row>
    <row r="18" spans="2:14" ht="14.1" customHeight="1" x14ac:dyDescent="0.2">
      <c r="B18" s="82"/>
      <c r="C18" s="88"/>
      <c r="D18" s="89"/>
      <c r="E18" s="45" t="s">
        <v>25</v>
      </c>
      <c r="F18" s="93"/>
      <c r="G18" s="22">
        <v>0</v>
      </c>
      <c r="H18" s="22">
        <v>0</v>
      </c>
      <c r="I18" s="22">
        <v>0</v>
      </c>
      <c r="J18" s="24">
        <v>0</v>
      </c>
      <c r="K18" s="46"/>
      <c r="L18" s="70"/>
    </row>
    <row r="19" spans="2:14" ht="14.1" customHeight="1" x14ac:dyDescent="0.2">
      <c r="B19" s="82"/>
      <c r="C19" s="88"/>
      <c r="D19" s="89"/>
      <c r="E19" s="45" t="s">
        <v>94</v>
      </c>
      <c r="F19" s="22">
        <v>21</v>
      </c>
      <c r="G19" s="22">
        <v>365</v>
      </c>
      <c r="H19" s="22">
        <v>70</v>
      </c>
      <c r="I19" s="22">
        <v>168</v>
      </c>
      <c r="J19" s="24">
        <v>135</v>
      </c>
      <c r="K19" s="46"/>
      <c r="L19" s="70"/>
    </row>
    <row r="20" spans="2:14" ht="14.1" customHeight="1" x14ac:dyDescent="0.2">
      <c r="B20" s="82"/>
      <c r="C20" s="88"/>
      <c r="D20" s="89"/>
      <c r="E20" s="45" t="s">
        <v>26</v>
      </c>
      <c r="F20" s="25">
        <v>0.15</v>
      </c>
      <c r="G20" s="25">
        <v>0.02</v>
      </c>
      <c r="H20" s="25">
        <v>0.05</v>
      </c>
      <c r="I20" s="25">
        <v>0.02</v>
      </c>
      <c r="J20" s="26">
        <v>0.03</v>
      </c>
      <c r="K20" s="46"/>
      <c r="L20" s="70"/>
    </row>
    <row r="21" spans="2:14" ht="14.1" customHeight="1" x14ac:dyDescent="0.2">
      <c r="B21" s="82"/>
      <c r="C21" s="88"/>
      <c r="D21" s="89"/>
      <c r="E21" s="45" t="s">
        <v>27</v>
      </c>
      <c r="F21" s="22">
        <v>4.5</v>
      </c>
      <c r="G21" s="22">
        <v>450</v>
      </c>
      <c r="H21" s="22">
        <v>40</v>
      </c>
      <c r="I21" s="22">
        <v>125</v>
      </c>
      <c r="J21" s="24">
        <v>150</v>
      </c>
      <c r="K21" s="46"/>
      <c r="L21" s="70"/>
    </row>
    <row r="22" spans="2:14" ht="14.1" customHeight="1" thickBot="1" x14ac:dyDescent="0.25">
      <c r="B22" s="82"/>
      <c r="C22" s="94"/>
      <c r="D22" s="95"/>
      <c r="E22" s="96" t="s">
        <v>95</v>
      </c>
      <c r="F22" s="20">
        <f>IF(F19&gt;0, (F16*F17*F20*F21)/F19, 0)</f>
        <v>0</v>
      </c>
      <c r="G22" s="21">
        <f t="shared" ref="G22:I22" si="0">IF(G19&gt;0, G18*G20*G21/G19, 0)</f>
        <v>0</v>
      </c>
      <c r="H22" s="21">
        <f t="shared" si="0"/>
        <v>0</v>
      </c>
      <c r="I22" s="21">
        <f t="shared" si="0"/>
        <v>0</v>
      </c>
      <c r="J22" s="21">
        <f>IF(J19&gt;0, J18*J20*J21/J19, 0)</f>
        <v>0</v>
      </c>
      <c r="K22" s="46"/>
      <c r="L22" s="70"/>
      <c r="M22" s="41"/>
    </row>
    <row r="23" spans="2:14" ht="15" customHeight="1" x14ac:dyDescent="0.2">
      <c r="B23" s="82"/>
      <c r="C23" s="46"/>
      <c r="D23" s="89"/>
      <c r="E23" s="45" t="s">
        <v>88</v>
      </c>
      <c r="F23" s="97">
        <f>SUM(F22:J22)</f>
        <v>0</v>
      </c>
      <c r="G23" s="58" t="s">
        <v>43</v>
      </c>
      <c r="H23" s="46"/>
      <c r="I23" s="46"/>
      <c r="J23" s="46"/>
      <c r="K23" s="46"/>
      <c r="L23" s="70"/>
    </row>
    <row r="24" spans="2:14" ht="4.5" customHeight="1" x14ac:dyDescent="0.2">
      <c r="B24" s="98"/>
      <c r="C24" s="75"/>
      <c r="D24" s="99"/>
      <c r="E24" s="100"/>
      <c r="F24" s="101"/>
      <c r="G24" s="102"/>
      <c r="H24" s="75"/>
      <c r="I24" s="75"/>
      <c r="J24" s="75"/>
      <c r="K24" s="75"/>
      <c r="L24" s="76"/>
    </row>
    <row r="25" spans="2:14" ht="15" customHeight="1" x14ac:dyDescent="0.2">
      <c r="D25" s="89"/>
      <c r="E25" s="45"/>
      <c r="F25" s="103"/>
      <c r="G25" s="58"/>
    </row>
    <row r="26" spans="2:14" ht="15" customHeight="1" x14ac:dyDescent="0.25">
      <c r="B26" s="77" t="s">
        <v>85</v>
      </c>
      <c r="D26" s="89"/>
      <c r="E26" s="45"/>
      <c r="F26" s="103"/>
      <c r="G26" s="58"/>
    </row>
    <row r="27" spans="2:14" ht="5.25" customHeight="1" thickBot="1" x14ac:dyDescent="0.3">
      <c r="B27" s="78"/>
      <c r="C27" s="79"/>
      <c r="D27" s="104"/>
      <c r="E27" s="105"/>
      <c r="F27" s="106"/>
      <c r="G27" s="107"/>
      <c r="H27" s="79"/>
      <c r="I27" s="79"/>
      <c r="J27" s="79"/>
      <c r="K27" s="79"/>
      <c r="L27" s="81"/>
    </row>
    <row r="28" spans="2:14" ht="15" customHeight="1" x14ac:dyDescent="0.2">
      <c r="B28" s="82"/>
      <c r="C28" s="212" t="s">
        <v>10</v>
      </c>
      <c r="D28" s="213"/>
      <c r="E28" s="214"/>
      <c r="F28" s="108" t="s">
        <v>6</v>
      </c>
      <c r="G28" s="108" t="s">
        <v>4</v>
      </c>
      <c r="H28" s="108" t="s">
        <v>5</v>
      </c>
      <c r="I28" s="109" t="s">
        <v>7</v>
      </c>
      <c r="J28" s="46"/>
      <c r="K28" s="46"/>
      <c r="L28" s="70"/>
    </row>
    <row r="29" spans="2:14" ht="15" customHeight="1" x14ac:dyDescent="0.2">
      <c r="B29" s="82"/>
      <c r="C29" s="88"/>
      <c r="D29" s="89"/>
      <c r="E29" s="45" t="s">
        <v>25</v>
      </c>
      <c r="F29" s="22">
        <v>0</v>
      </c>
      <c r="G29" s="22">
        <v>0</v>
      </c>
      <c r="H29" s="22">
        <v>0</v>
      </c>
      <c r="I29" s="24">
        <v>0</v>
      </c>
      <c r="J29" s="46"/>
      <c r="K29" s="46"/>
      <c r="L29" s="70"/>
      <c r="N29" s="110"/>
    </row>
    <row r="30" spans="2:14" ht="15" customHeight="1" x14ac:dyDescent="0.2">
      <c r="B30" s="82"/>
      <c r="C30" s="88"/>
      <c r="D30" s="89"/>
      <c r="E30" s="45" t="s">
        <v>87</v>
      </c>
      <c r="F30" s="22">
        <v>365</v>
      </c>
      <c r="G30" s="22">
        <v>365</v>
      </c>
      <c r="H30" s="22">
        <v>168</v>
      </c>
      <c r="I30" s="24">
        <v>168</v>
      </c>
      <c r="J30" s="46"/>
      <c r="K30" s="46"/>
      <c r="L30" s="70"/>
    </row>
    <row r="31" spans="2:14" ht="15" customHeight="1" x14ac:dyDescent="0.2">
      <c r="B31" s="82"/>
      <c r="C31" s="88"/>
      <c r="D31" s="89"/>
      <c r="E31" s="45" t="s">
        <v>26</v>
      </c>
      <c r="F31" s="27">
        <v>0.04</v>
      </c>
      <c r="G31" s="27">
        <v>0.05</v>
      </c>
      <c r="H31" s="27">
        <v>0.02</v>
      </c>
      <c r="I31" s="28">
        <v>0.02</v>
      </c>
      <c r="J31" s="46"/>
      <c r="K31" s="46"/>
      <c r="L31" s="70"/>
    </row>
    <row r="32" spans="2:14" ht="15" customHeight="1" x14ac:dyDescent="0.2">
      <c r="B32" s="82"/>
      <c r="C32" s="88"/>
      <c r="D32" s="89"/>
      <c r="E32" s="45" t="s">
        <v>27</v>
      </c>
      <c r="F32" s="22">
        <v>1200</v>
      </c>
      <c r="G32" s="22">
        <v>110</v>
      </c>
      <c r="H32" s="22">
        <v>600</v>
      </c>
      <c r="I32" s="24">
        <v>600</v>
      </c>
      <c r="J32" s="46"/>
      <c r="K32" s="46"/>
      <c r="L32" s="70"/>
    </row>
    <row r="33" spans="2:14" ht="15" customHeight="1" thickBot="1" x14ac:dyDescent="0.25">
      <c r="B33" s="82"/>
      <c r="C33" s="94"/>
      <c r="D33" s="95"/>
      <c r="E33" s="96" t="s">
        <v>95</v>
      </c>
      <c r="F33" s="111">
        <f>IF(F30&gt;0,F29/F30,0)*F31*F32</f>
        <v>0</v>
      </c>
      <c r="G33" s="111">
        <f t="shared" ref="G33:I33" si="1">IF(G30&gt;0,G29/G30,0)*G31*G32</f>
        <v>0</v>
      </c>
      <c r="H33" s="111">
        <f t="shared" si="1"/>
        <v>0</v>
      </c>
      <c r="I33" s="112">
        <f t="shared" si="1"/>
        <v>0</v>
      </c>
      <c r="J33" s="46"/>
      <c r="K33" s="46"/>
      <c r="L33" s="70"/>
    </row>
    <row r="34" spans="2:14" ht="15" customHeight="1" x14ac:dyDescent="0.2">
      <c r="B34" s="82"/>
      <c r="C34" s="46"/>
      <c r="D34" s="89"/>
      <c r="E34" s="45" t="s">
        <v>88</v>
      </c>
      <c r="F34" s="97">
        <f>SUM(F33:I33)</f>
        <v>0</v>
      </c>
      <c r="G34" s="58" t="s">
        <v>43</v>
      </c>
      <c r="H34" s="46"/>
      <c r="I34" s="46"/>
      <c r="J34" s="46"/>
      <c r="K34" s="46"/>
      <c r="L34" s="70"/>
    </row>
    <row r="35" spans="2:14" ht="6" customHeight="1" x14ac:dyDescent="0.2">
      <c r="B35" s="98"/>
      <c r="C35" s="75"/>
      <c r="D35" s="99"/>
      <c r="E35" s="100"/>
      <c r="F35" s="113"/>
      <c r="G35" s="102"/>
      <c r="H35" s="75"/>
      <c r="I35" s="75"/>
      <c r="J35" s="75"/>
      <c r="K35" s="75"/>
      <c r="L35" s="76"/>
    </row>
    <row r="36" spans="2:14" ht="15" customHeight="1" x14ac:dyDescent="0.2">
      <c r="D36" s="89"/>
      <c r="E36" s="45"/>
      <c r="F36" s="103"/>
      <c r="G36" s="58"/>
    </row>
    <row r="37" spans="2:14" ht="15" customHeight="1" x14ac:dyDescent="0.25">
      <c r="B37" s="77" t="s">
        <v>196</v>
      </c>
      <c r="D37" s="89"/>
      <c r="E37" s="45"/>
      <c r="F37" s="103"/>
      <c r="G37" s="58"/>
    </row>
    <row r="38" spans="2:14" ht="5.25" customHeight="1" thickBot="1" x14ac:dyDescent="0.3">
      <c r="B38" s="78"/>
      <c r="C38" s="79"/>
      <c r="D38" s="104"/>
      <c r="E38" s="105"/>
      <c r="F38" s="106"/>
      <c r="G38" s="107"/>
      <c r="H38" s="79"/>
      <c r="I38" s="79"/>
      <c r="J38" s="79"/>
      <c r="K38" s="79"/>
      <c r="L38" s="81"/>
    </row>
    <row r="39" spans="2:14" ht="25.5" x14ac:dyDescent="0.2">
      <c r="B39" s="82"/>
      <c r="C39" s="212" t="s">
        <v>10</v>
      </c>
      <c r="D39" s="213"/>
      <c r="E39" s="214"/>
      <c r="F39" s="114" t="s">
        <v>13</v>
      </c>
      <c r="G39" s="115" t="s">
        <v>204</v>
      </c>
      <c r="H39" s="110"/>
      <c r="I39" s="110"/>
      <c r="J39" s="46"/>
      <c r="K39" s="46"/>
      <c r="L39" s="70"/>
    </row>
    <row r="40" spans="2:14" ht="15" customHeight="1" x14ac:dyDescent="0.2">
      <c r="B40" s="82"/>
      <c r="C40" s="88"/>
      <c r="D40" s="89"/>
      <c r="E40" s="45" t="s">
        <v>25</v>
      </c>
      <c r="F40" s="22">
        <v>0</v>
      </c>
      <c r="G40" s="24">
        <v>0</v>
      </c>
      <c r="H40" s="110"/>
      <c r="I40" s="110"/>
      <c r="J40" s="46"/>
      <c r="K40" s="46"/>
      <c r="L40" s="70"/>
      <c r="N40" s="110"/>
    </row>
    <row r="41" spans="2:14" ht="15" customHeight="1" x14ac:dyDescent="0.2">
      <c r="B41" s="82"/>
      <c r="C41" s="88"/>
      <c r="D41" s="89"/>
      <c r="E41" s="45" t="s">
        <v>87</v>
      </c>
      <c r="F41" s="22">
        <v>365</v>
      </c>
      <c r="G41" s="24">
        <v>365</v>
      </c>
      <c r="H41" s="110"/>
      <c r="I41" s="110"/>
      <c r="J41" s="46"/>
      <c r="K41" s="46"/>
      <c r="L41" s="70"/>
    </row>
    <row r="42" spans="2:14" ht="15" customHeight="1" x14ac:dyDescent="0.2">
      <c r="B42" s="82"/>
      <c r="C42" s="88"/>
      <c r="D42" s="89"/>
      <c r="E42" s="45" t="s">
        <v>26</v>
      </c>
      <c r="F42" s="27">
        <v>0.04</v>
      </c>
      <c r="G42" s="28">
        <v>0.05</v>
      </c>
      <c r="H42" s="110"/>
      <c r="I42" s="110"/>
      <c r="J42" s="46"/>
      <c r="K42" s="46"/>
      <c r="L42" s="70"/>
    </row>
    <row r="43" spans="2:14" ht="15" customHeight="1" x14ac:dyDescent="0.2">
      <c r="B43" s="82"/>
      <c r="C43" s="88"/>
      <c r="D43" s="89"/>
      <c r="E43" s="45" t="s">
        <v>27</v>
      </c>
      <c r="F43" s="22">
        <v>150</v>
      </c>
      <c r="G43" s="24">
        <v>25</v>
      </c>
      <c r="H43" s="110"/>
      <c r="I43" s="110"/>
      <c r="J43" s="46"/>
      <c r="K43" s="46"/>
      <c r="L43" s="70"/>
    </row>
    <row r="44" spans="2:14" ht="15" customHeight="1" thickBot="1" x14ac:dyDescent="0.25">
      <c r="B44" s="82"/>
      <c r="C44" s="94"/>
      <c r="D44" s="95"/>
      <c r="E44" s="96" t="s">
        <v>95</v>
      </c>
      <c r="F44" s="111">
        <f>(F40*F42*F43)/365</f>
        <v>0</v>
      </c>
      <c r="G44" s="112">
        <f>(G40*G42*G43)/365</f>
        <v>0</v>
      </c>
      <c r="H44" s="110"/>
      <c r="I44" s="110"/>
      <c r="J44" s="46"/>
      <c r="K44" s="46"/>
      <c r="L44" s="70"/>
    </row>
    <row r="45" spans="2:14" ht="15" customHeight="1" x14ac:dyDescent="0.2">
      <c r="B45" s="82"/>
      <c r="C45" s="46"/>
      <c r="D45" s="89"/>
      <c r="E45" s="45" t="s">
        <v>88</v>
      </c>
      <c r="F45" s="97">
        <f>SUM(F44:G44)</f>
        <v>0</v>
      </c>
      <c r="G45" s="58" t="s">
        <v>43</v>
      </c>
      <c r="H45" s="46"/>
      <c r="I45" s="46"/>
      <c r="J45" s="46"/>
      <c r="K45" s="46"/>
      <c r="L45" s="70"/>
    </row>
    <row r="46" spans="2:14" ht="6" customHeight="1" x14ac:dyDescent="0.2">
      <c r="B46" s="98"/>
      <c r="C46" s="75"/>
      <c r="D46" s="99"/>
      <c r="E46" s="100"/>
      <c r="F46" s="113"/>
      <c r="G46" s="102"/>
      <c r="H46" s="75"/>
      <c r="I46" s="75"/>
      <c r="J46" s="75"/>
      <c r="K46" s="75"/>
      <c r="L46" s="76"/>
    </row>
    <row r="47" spans="2:14" ht="15" hidden="1" customHeight="1" x14ac:dyDescent="0.2">
      <c r="D47" s="89"/>
      <c r="E47" s="45"/>
      <c r="F47" s="103"/>
      <c r="G47" s="58"/>
    </row>
    <row r="48" spans="2:14" ht="15" hidden="1" customHeight="1" x14ac:dyDescent="0.25">
      <c r="B48" s="77" t="s">
        <v>90</v>
      </c>
      <c r="D48" s="89"/>
      <c r="E48" s="45"/>
      <c r="F48" s="103"/>
      <c r="G48" s="58"/>
    </row>
    <row r="49" spans="2:14" ht="5.25" hidden="1" customHeight="1" thickBot="1" x14ac:dyDescent="0.25">
      <c r="B49" s="116"/>
      <c r="C49" s="79"/>
      <c r="D49" s="104"/>
      <c r="E49" s="105"/>
      <c r="F49" s="106"/>
      <c r="G49" s="107"/>
      <c r="H49" s="79"/>
      <c r="I49" s="79"/>
      <c r="J49" s="79"/>
      <c r="K49" s="79"/>
      <c r="L49" s="81"/>
    </row>
    <row r="50" spans="2:14" ht="15" hidden="1" customHeight="1" x14ac:dyDescent="0.2">
      <c r="B50" s="82"/>
      <c r="C50" s="212" t="s">
        <v>10</v>
      </c>
      <c r="D50" s="213"/>
      <c r="E50" s="214"/>
      <c r="F50" s="108" t="s">
        <v>3</v>
      </c>
      <c r="G50" s="108" t="s">
        <v>11</v>
      </c>
      <c r="H50" s="109" t="s">
        <v>12</v>
      </c>
      <c r="I50" s="46"/>
      <c r="J50" s="46"/>
      <c r="K50" s="46"/>
      <c r="L50" s="70"/>
    </row>
    <row r="51" spans="2:14" ht="15" hidden="1" customHeight="1" x14ac:dyDescent="0.2">
      <c r="B51" s="82"/>
      <c r="C51" s="88"/>
      <c r="D51" s="46"/>
      <c r="E51" s="45" t="s">
        <v>25</v>
      </c>
      <c r="F51" s="29">
        <v>0</v>
      </c>
      <c r="G51" s="29">
        <v>0</v>
      </c>
      <c r="H51" s="24">
        <v>0</v>
      </c>
      <c r="I51" s="46"/>
      <c r="J51" s="46"/>
      <c r="K51" s="46"/>
      <c r="L51" s="70"/>
    </row>
    <row r="52" spans="2:14" ht="15" hidden="1" customHeight="1" x14ac:dyDescent="0.2">
      <c r="B52" s="82"/>
      <c r="C52" s="88"/>
      <c r="D52" s="46"/>
      <c r="E52" s="45" t="s">
        <v>87</v>
      </c>
      <c r="F52" s="22">
        <v>365</v>
      </c>
      <c r="G52" s="22">
        <v>122</v>
      </c>
      <c r="H52" s="24">
        <v>168</v>
      </c>
      <c r="I52" s="46"/>
      <c r="J52" s="46"/>
      <c r="K52" s="46"/>
      <c r="L52" s="70"/>
      <c r="N52" s="110"/>
    </row>
    <row r="53" spans="2:14" ht="15" hidden="1" customHeight="1" x14ac:dyDescent="0.2">
      <c r="B53" s="82"/>
      <c r="C53" s="88"/>
      <c r="D53" s="46"/>
      <c r="E53" s="45" t="s">
        <v>26</v>
      </c>
      <c r="F53" s="27">
        <v>0.05</v>
      </c>
      <c r="G53" s="27">
        <v>0.1</v>
      </c>
      <c r="H53" s="28">
        <v>0.02</v>
      </c>
      <c r="I53" s="46"/>
      <c r="J53" s="46"/>
      <c r="K53" s="46"/>
      <c r="L53" s="70"/>
    </row>
    <row r="54" spans="2:14" ht="15" hidden="1" customHeight="1" x14ac:dyDescent="0.2">
      <c r="B54" s="82"/>
      <c r="C54" s="88"/>
      <c r="D54" s="46"/>
      <c r="E54" s="45" t="s">
        <v>27</v>
      </c>
      <c r="F54" s="22">
        <v>6</v>
      </c>
      <c r="G54" s="22">
        <v>15</v>
      </c>
      <c r="H54" s="24">
        <v>600</v>
      </c>
      <c r="I54" s="46"/>
      <c r="J54" s="46"/>
      <c r="K54" s="46"/>
      <c r="L54" s="70"/>
    </row>
    <row r="55" spans="2:14" ht="15" hidden="1" customHeight="1" thickBot="1" x14ac:dyDescent="0.25">
      <c r="B55" s="82"/>
      <c r="C55" s="94"/>
      <c r="D55" s="117"/>
      <c r="E55" s="96" t="s">
        <v>95</v>
      </c>
      <c r="F55" s="111">
        <f>IF(F52&gt;0,F51/F52,0)*F53*F54</f>
        <v>0</v>
      </c>
      <c r="G55" s="111">
        <f t="shared" ref="G55:H55" si="2">IF(G52&gt;0,G51/G52,0)*G53*G54</f>
        <v>0</v>
      </c>
      <c r="H55" s="112">
        <f t="shared" si="2"/>
        <v>0</v>
      </c>
      <c r="I55" s="46"/>
      <c r="J55" s="46"/>
      <c r="K55" s="46"/>
      <c r="L55" s="70"/>
    </row>
    <row r="56" spans="2:14" ht="15" hidden="1" customHeight="1" x14ac:dyDescent="0.2">
      <c r="B56" s="82"/>
      <c r="C56" s="46"/>
      <c r="D56" s="46"/>
      <c r="E56" s="45" t="s">
        <v>88</v>
      </c>
      <c r="F56" s="97">
        <f>SUM(F55:H55)</f>
        <v>0</v>
      </c>
      <c r="G56" s="58" t="s">
        <v>43</v>
      </c>
      <c r="H56" s="46"/>
      <c r="I56" s="46"/>
      <c r="J56" s="46"/>
      <c r="K56" s="46"/>
      <c r="L56" s="70"/>
    </row>
    <row r="57" spans="2:14" ht="6.75" hidden="1" customHeight="1" x14ac:dyDescent="0.2">
      <c r="B57" s="98"/>
      <c r="C57" s="75"/>
      <c r="D57" s="75"/>
      <c r="E57" s="100"/>
      <c r="F57" s="113"/>
      <c r="G57" s="102"/>
      <c r="H57" s="75"/>
      <c r="I57" s="75"/>
      <c r="J57" s="75"/>
      <c r="K57" s="75"/>
      <c r="L57" s="76"/>
    </row>
    <row r="58" spans="2:14" ht="15" hidden="1" customHeight="1" x14ac:dyDescent="0.2">
      <c r="E58" s="45"/>
      <c r="F58" s="52"/>
      <c r="G58" s="58"/>
    </row>
    <row r="59" spans="2:14" ht="15" hidden="1" customHeight="1" x14ac:dyDescent="0.25">
      <c r="B59" s="77" t="s">
        <v>91</v>
      </c>
      <c r="E59" s="45"/>
      <c r="F59" s="52"/>
      <c r="G59" s="58"/>
    </row>
    <row r="60" spans="2:14" ht="6" hidden="1" customHeight="1" thickBot="1" x14ac:dyDescent="0.25">
      <c r="B60" s="116"/>
      <c r="C60" s="79"/>
      <c r="D60" s="79"/>
      <c r="E60" s="79"/>
      <c r="F60" s="79"/>
      <c r="G60" s="79"/>
      <c r="H60" s="79"/>
      <c r="I60" s="79"/>
      <c r="J60" s="79"/>
      <c r="K60" s="79"/>
      <c r="L60" s="81"/>
    </row>
    <row r="61" spans="2:14" ht="15" hidden="1" customHeight="1" x14ac:dyDescent="0.2">
      <c r="B61" s="82"/>
      <c r="C61" s="212" t="s">
        <v>10</v>
      </c>
      <c r="D61" s="213"/>
      <c r="E61" s="214"/>
      <c r="F61" s="118" t="s">
        <v>13</v>
      </c>
      <c r="G61" s="109" t="s">
        <v>14</v>
      </c>
      <c r="H61" s="46"/>
      <c r="I61" s="46"/>
      <c r="J61" s="46"/>
      <c r="K61" s="46"/>
      <c r="L61" s="70"/>
    </row>
    <row r="62" spans="2:14" ht="15" hidden="1" customHeight="1" x14ac:dyDescent="0.2">
      <c r="B62" s="82"/>
      <c r="C62" s="88"/>
      <c r="D62" s="89"/>
      <c r="E62" s="45" t="s">
        <v>25</v>
      </c>
      <c r="F62" s="29">
        <v>0</v>
      </c>
      <c r="G62" s="30">
        <v>0</v>
      </c>
      <c r="H62" s="46"/>
      <c r="I62" s="46"/>
      <c r="J62" s="46"/>
      <c r="K62" s="46"/>
      <c r="L62" s="70"/>
      <c r="N62" s="110"/>
    </row>
    <row r="63" spans="2:14" ht="15" hidden="1" customHeight="1" x14ac:dyDescent="0.2">
      <c r="B63" s="82"/>
      <c r="C63" s="88"/>
      <c r="D63" s="89"/>
      <c r="E63" s="45" t="s">
        <v>87</v>
      </c>
      <c r="F63" s="22">
        <v>365</v>
      </c>
      <c r="G63" s="24">
        <v>365</v>
      </c>
      <c r="H63" s="46"/>
      <c r="I63" s="46"/>
      <c r="J63" s="46"/>
      <c r="K63" s="46"/>
      <c r="L63" s="70"/>
    </row>
    <row r="64" spans="2:14" ht="15" hidden="1" customHeight="1" x14ac:dyDescent="0.2">
      <c r="B64" s="82"/>
      <c r="C64" s="88"/>
      <c r="D64" s="89"/>
      <c r="E64" s="45" t="s">
        <v>26</v>
      </c>
      <c r="F64" s="27">
        <v>0.02</v>
      </c>
      <c r="G64" s="28">
        <v>0.25</v>
      </c>
      <c r="H64" s="46"/>
      <c r="J64" s="46"/>
      <c r="K64" s="46"/>
      <c r="L64" s="70"/>
    </row>
    <row r="65" spans="2:19" ht="15" hidden="1" customHeight="1" x14ac:dyDescent="0.2">
      <c r="B65" s="82"/>
      <c r="C65" s="88"/>
      <c r="D65" s="89"/>
      <c r="E65" s="45" t="s">
        <v>27</v>
      </c>
      <c r="F65" s="31">
        <v>1500</v>
      </c>
      <c r="G65" s="32">
        <v>200</v>
      </c>
      <c r="H65" s="46"/>
      <c r="I65" s="46"/>
      <c r="J65" s="46"/>
      <c r="K65" s="46"/>
      <c r="L65" s="70"/>
    </row>
    <row r="66" spans="2:19" ht="15" hidden="1" customHeight="1" thickBot="1" x14ac:dyDescent="0.25">
      <c r="B66" s="82"/>
      <c r="C66" s="94"/>
      <c r="D66" s="95"/>
      <c r="E66" s="96" t="s">
        <v>95</v>
      </c>
      <c r="F66" s="111">
        <f>IF(F63&gt;0,F62/F63,0)*F64*F65</f>
        <v>0</v>
      </c>
      <c r="G66" s="112">
        <f>IF(G63&gt;0,G62/G63,0)*G64*G65</f>
        <v>0</v>
      </c>
      <c r="H66" s="46"/>
      <c r="I66" s="46"/>
      <c r="J66" s="46"/>
      <c r="K66" s="46"/>
      <c r="L66" s="70"/>
    </row>
    <row r="67" spans="2:19" ht="15" hidden="1" customHeight="1" x14ac:dyDescent="0.2">
      <c r="B67" s="82"/>
      <c r="C67" s="46"/>
      <c r="D67" s="89"/>
      <c r="E67" s="45" t="s">
        <v>88</v>
      </c>
      <c r="F67" s="52">
        <f>SUM(F66:G66)</f>
        <v>0</v>
      </c>
      <c r="G67" s="58" t="s">
        <v>43</v>
      </c>
      <c r="H67" s="46"/>
      <c r="I67" s="46"/>
      <c r="J67" s="46"/>
      <c r="K67" s="46"/>
      <c r="L67" s="70"/>
    </row>
    <row r="68" spans="2:19" ht="6" hidden="1" customHeight="1" x14ac:dyDescent="0.2">
      <c r="B68" s="98"/>
      <c r="C68" s="75"/>
      <c r="D68" s="75"/>
      <c r="E68" s="75"/>
      <c r="F68" s="75"/>
      <c r="G68" s="75"/>
      <c r="H68" s="75"/>
      <c r="I68" s="75"/>
      <c r="J68" s="75"/>
      <c r="K68" s="75"/>
      <c r="L68" s="76"/>
    </row>
    <row r="69" spans="2:19" ht="15" hidden="1" customHeight="1" x14ac:dyDescent="0.2">
      <c r="C69" s="89"/>
      <c r="D69" s="89"/>
      <c r="E69" s="119"/>
      <c r="F69" s="120"/>
    </row>
    <row r="70" spans="2:19" ht="15" hidden="1" customHeight="1" x14ac:dyDescent="0.25">
      <c r="B70" s="77" t="s">
        <v>184</v>
      </c>
      <c r="C70" s="89"/>
      <c r="D70" s="89"/>
      <c r="E70" s="119"/>
      <c r="F70" s="120"/>
    </row>
    <row r="71" spans="2:19" ht="9" hidden="1" customHeight="1" thickBot="1" x14ac:dyDescent="0.25">
      <c r="B71" s="116"/>
      <c r="C71" s="104"/>
      <c r="D71" s="104"/>
      <c r="E71" s="121"/>
      <c r="F71" s="122"/>
      <c r="G71" s="79"/>
      <c r="H71" s="79"/>
      <c r="I71" s="79"/>
      <c r="J71" s="79"/>
      <c r="K71" s="79"/>
      <c r="L71" s="81"/>
    </row>
    <row r="72" spans="2:19" ht="15" hidden="1" customHeight="1" x14ac:dyDescent="0.2">
      <c r="B72" s="82"/>
      <c r="C72" s="89"/>
      <c r="D72" s="215" t="s">
        <v>10</v>
      </c>
      <c r="E72" s="216"/>
      <c r="F72" s="123" t="s">
        <v>58</v>
      </c>
      <c r="G72" s="46"/>
      <c r="H72" s="46"/>
      <c r="I72" s="46"/>
      <c r="J72" s="46"/>
      <c r="K72" s="46"/>
      <c r="L72" s="70"/>
    </row>
    <row r="73" spans="2:19" ht="15" hidden="1" customHeight="1" thickBot="1" x14ac:dyDescent="0.25">
      <c r="B73" s="82"/>
      <c r="C73" s="89"/>
      <c r="D73" s="94"/>
      <c r="E73" s="124" t="s">
        <v>185</v>
      </c>
      <c r="F73" s="33">
        <v>0</v>
      </c>
      <c r="G73" s="46" t="s">
        <v>92</v>
      </c>
      <c r="H73" s="46"/>
      <c r="I73" s="46"/>
      <c r="J73" s="46"/>
      <c r="K73" s="46"/>
      <c r="L73" s="70"/>
    </row>
    <row r="74" spans="2:19" ht="15" hidden="1" customHeight="1" x14ac:dyDescent="0.2">
      <c r="B74" s="82"/>
      <c r="C74" s="89"/>
      <c r="D74" s="119"/>
      <c r="E74" s="125" t="s">
        <v>93</v>
      </c>
      <c r="F74" s="126">
        <f>animalTissuePerWk/7</f>
        <v>0</v>
      </c>
      <c r="G74" s="58" t="s">
        <v>43</v>
      </c>
      <c r="H74" s="46"/>
      <c r="I74" s="46"/>
      <c r="J74" s="46"/>
      <c r="K74" s="46"/>
      <c r="L74" s="70"/>
    </row>
    <row r="75" spans="2:19" ht="6" hidden="1" customHeight="1" x14ac:dyDescent="0.2">
      <c r="B75" s="98"/>
      <c r="C75" s="99"/>
      <c r="D75" s="99"/>
      <c r="E75" s="127"/>
      <c r="F75" s="128"/>
      <c r="G75" s="75"/>
      <c r="H75" s="75"/>
      <c r="I75" s="75"/>
      <c r="J75" s="75"/>
      <c r="K75" s="75"/>
      <c r="L75" s="76"/>
    </row>
    <row r="76" spans="2:19" ht="14.1" customHeight="1" x14ac:dyDescent="0.2">
      <c r="C76" s="89"/>
      <c r="D76" s="89"/>
      <c r="E76" s="119"/>
      <c r="F76" s="120"/>
    </row>
    <row r="77" spans="2:19" ht="15.75" x14ac:dyDescent="0.25">
      <c r="B77" s="77" t="s">
        <v>129</v>
      </c>
      <c r="D77" s="89"/>
      <c r="E77" s="46"/>
      <c r="F77" s="46"/>
      <c r="G77" s="46"/>
      <c r="I77" s="120"/>
    </row>
    <row r="78" spans="2:19" ht="14.45" customHeight="1" x14ac:dyDescent="0.2">
      <c r="B78" s="116"/>
      <c r="C78" s="129" t="s">
        <v>67</v>
      </c>
      <c r="D78" s="104"/>
      <c r="E78" s="79"/>
      <c r="F78" s="79"/>
      <c r="G78" s="79"/>
      <c r="H78" s="79"/>
      <c r="I78" s="122"/>
      <c r="J78" s="79"/>
      <c r="K78" s="79"/>
      <c r="L78" s="81"/>
      <c r="O78" s="72" t="s">
        <v>52</v>
      </c>
    </row>
    <row r="79" spans="2:19" ht="14.45" customHeight="1" x14ac:dyDescent="0.2">
      <c r="B79" s="82"/>
      <c r="C79" s="46"/>
      <c r="D79" s="89"/>
      <c r="E79" s="45" t="s">
        <v>112</v>
      </c>
      <c r="F79" s="22">
        <v>2</v>
      </c>
      <c r="G79" s="58" t="s">
        <v>15</v>
      </c>
      <c r="H79" s="130" t="str">
        <f>"Total farm mortality = "&amp;TEXT(ROUND(Q79,0),"#,###")&amp;" lb per "&amp;F79&amp;" month"&amp;IF(F79=1,"","s")</f>
        <v>Total farm mortality =  lb per 2 months</v>
      </c>
      <c r="I79" s="46"/>
      <c r="J79" s="46"/>
      <c r="K79" s="89"/>
      <c r="L79" s="70"/>
      <c r="P79" s="45" t="s">
        <v>83</v>
      </c>
      <c r="Q79" s="131">
        <f>binBatchDuration*MortalityPerDay*DaysPerMonth</f>
        <v>0</v>
      </c>
    </row>
    <row r="80" spans="2:19" ht="14.45" customHeight="1" x14ac:dyDescent="0.2">
      <c r="B80" s="82"/>
      <c r="C80" s="46"/>
      <c r="D80" s="46"/>
      <c r="E80" s="45" t="s">
        <v>29</v>
      </c>
      <c r="F80" s="34">
        <v>6</v>
      </c>
      <c r="G80" s="46" t="s">
        <v>22</v>
      </c>
      <c r="H80" s="58" t="str">
        <f>"Volume needed to fill bin in desired time = "&amp;TEXT(ROUND(Q80,0),"#,###")&amp;" cubic ft"</f>
        <v>Volume needed to fill bin in desired time =  cubic ft</v>
      </c>
      <c r="I80" s="46"/>
      <c r="J80" s="46"/>
      <c r="K80" s="46"/>
      <c r="L80" s="132"/>
      <c r="P80" s="45" t="s">
        <v>23</v>
      </c>
      <c r="Q80" s="133">
        <f>binsTotalMortality/TargetTissueDensity</f>
        <v>0</v>
      </c>
      <c r="R80" s="134" t="s">
        <v>17</v>
      </c>
      <c r="S80" s="57" t="s">
        <v>47</v>
      </c>
    </row>
    <row r="81" spans="2:20" ht="14.45" customHeight="1" x14ac:dyDescent="0.2">
      <c r="B81" s="82"/>
      <c r="C81" s="46"/>
      <c r="D81" s="46"/>
      <c r="E81" s="45" t="s">
        <v>30</v>
      </c>
      <c r="F81" s="34">
        <v>6</v>
      </c>
      <c r="G81" s="46" t="s">
        <v>22</v>
      </c>
      <c r="H81" s="58" t="str">
        <f>"Effective volume of bin = "&amp;TEXT(ROUND(Q81,0),"#,###")&amp;" cubic ft"</f>
        <v>Effective volume of bin = 137 cubic ft</v>
      </c>
      <c r="I81" s="46"/>
      <c r="J81" s="119"/>
      <c r="K81" s="46"/>
      <c r="L81" s="135"/>
      <c r="P81" s="45" t="s">
        <v>66</v>
      </c>
      <c r="Q81" s="133">
        <f>(BinWidth*BinHeight*BinLength) - (BinWidth*TAN(RADIANS(30))*(BinHeight^2)/2)</f>
        <v>136.69872981077808</v>
      </c>
      <c r="R81" s="134" t="s">
        <v>17</v>
      </c>
      <c r="S81" s="57" t="s">
        <v>48</v>
      </c>
    </row>
    <row r="82" spans="2:20" ht="14.45" customHeight="1" x14ac:dyDescent="0.2">
      <c r="B82" s="82"/>
      <c r="C82" s="46"/>
      <c r="D82" s="46"/>
      <c r="E82" s="45" t="s">
        <v>31</v>
      </c>
      <c r="F82" s="34">
        <v>5</v>
      </c>
      <c r="G82" s="46" t="s">
        <v>22</v>
      </c>
      <c r="H82" s="58" t="str">
        <f>"Construction volume of bin = "&amp;TEXT(ROUND(Q82,0),"#,###")&amp;" sq ft"</f>
        <v>Construction volume of bin = 180 sq ft</v>
      </c>
      <c r="I82" s="46"/>
      <c r="J82" s="119"/>
      <c r="K82" s="46" t="s">
        <v>106</v>
      </c>
      <c r="L82" s="135"/>
      <c r="P82" s="45" t="s">
        <v>32</v>
      </c>
      <c r="Q82" s="133">
        <f>BinLength*BinWidth*BinHeight</f>
        <v>180</v>
      </c>
    </row>
    <row r="83" spans="2:20" ht="14.45" customHeight="1" x14ac:dyDescent="0.2">
      <c r="B83" s="82"/>
      <c r="C83" s="46"/>
      <c r="D83" s="89"/>
      <c r="E83" s="45" t="s">
        <v>113</v>
      </c>
      <c r="F83" s="34">
        <v>5</v>
      </c>
      <c r="G83" s="136" t="s">
        <v>15</v>
      </c>
      <c r="H83" s="137" t="str">
        <f>IF(Q83&lt;3,"NOTE: A minimum of three composting bins are needed to","")</f>
        <v>NOTE: A minimum of three composting bins are needed to</v>
      </c>
      <c r="I83" s="46"/>
      <c r="J83" s="46"/>
      <c r="K83" s="46"/>
      <c r="L83" s="70"/>
      <c r="P83" s="138" t="s">
        <v>33</v>
      </c>
      <c r="Q83" s="139">
        <f>binsTotalVolumeNeeded/binsConstructionVolume+(BinCompoostingDuration/binBatchDuration)</f>
        <v>2.5</v>
      </c>
    </row>
    <row r="84" spans="2:20" ht="14.45" customHeight="1" x14ac:dyDescent="0.2">
      <c r="B84" s="82"/>
      <c r="C84" s="46"/>
      <c r="D84" s="89"/>
      <c r="E84" s="45" t="s">
        <v>19</v>
      </c>
      <c r="F84" s="34">
        <v>1</v>
      </c>
      <c r="G84" s="46"/>
      <c r="H84" s="137" t="str">
        <f>IF(Q83&lt;3,"allow for moving compost and managing distinct batches.", "")</f>
        <v>allow for moving compost and managing distinct batches.</v>
      </c>
      <c r="I84" s="46"/>
      <c r="J84" s="46"/>
      <c r="K84" s="46"/>
      <c r="L84" s="70"/>
      <c r="P84" s="45" t="s">
        <v>38</v>
      </c>
      <c r="Q84" s="140">
        <f>IF(calcedNumBinsNeeded&gt;=3, calcedNumBinsNeeded, 3)</f>
        <v>3</v>
      </c>
    </row>
    <row r="85" spans="2:20" ht="14.45" customHeight="1" x14ac:dyDescent="0.2">
      <c r="B85" s="82"/>
      <c r="C85" s="46"/>
      <c r="D85" s="46"/>
      <c r="E85" s="46"/>
      <c r="F85" s="46"/>
      <c r="G85" s="46"/>
      <c r="H85" s="46"/>
      <c r="I85" s="46"/>
      <c r="J85" s="137"/>
      <c r="K85" s="137"/>
      <c r="L85" s="70"/>
      <c r="P85" s="141" t="s">
        <v>201</v>
      </c>
      <c r="Q85" s="142" t="e">
        <f>(binEfffectiveVolume-binsTotalVolumeNeeded)/binsTotalVolumeNeeded</f>
        <v>#DIV/0!</v>
      </c>
    </row>
    <row r="86" spans="2:20" ht="14.45" customHeight="1" x14ac:dyDescent="0.2">
      <c r="B86" s="82"/>
      <c r="C86" s="71" t="s">
        <v>21</v>
      </c>
      <c r="D86" s="46"/>
      <c r="E86" s="46"/>
      <c r="F86" s="46"/>
      <c r="G86" s="46"/>
      <c r="H86" s="71" t="s">
        <v>49</v>
      </c>
      <c r="I86" s="46"/>
      <c r="J86" s="119"/>
      <c r="K86" s="46"/>
      <c r="L86" s="70"/>
    </row>
    <row r="87" spans="2:20" ht="14.45" customHeight="1" x14ac:dyDescent="0.2">
      <c r="B87" s="82"/>
      <c r="C87" s="46"/>
      <c r="D87" s="46"/>
      <c r="E87" s="45" t="s">
        <v>115</v>
      </c>
      <c r="F87" s="52">
        <f>ROUND(calcedNumBinsMin3+0.49,0)</f>
        <v>3</v>
      </c>
      <c r="G87" s="46"/>
      <c r="H87" s="46" t="str">
        <f>IF(Q80&lt;=0,"", IF(Q81&lt;Q80,O88,IF(AND(Q85&gt;=0,Q85&lt;=0.1),O89,O90)))</f>
        <v/>
      </c>
      <c r="I87" s="143"/>
      <c r="J87" s="143"/>
      <c r="K87" s="143"/>
      <c r="L87" s="70"/>
      <c r="N87" s="144" t="s">
        <v>53</v>
      </c>
      <c r="O87" s="145"/>
      <c r="P87" s="146" t="s">
        <v>57</v>
      </c>
      <c r="Q87" s="145"/>
      <c r="R87" s="145"/>
      <c r="S87" s="145"/>
      <c r="T87" s="147"/>
    </row>
    <row r="88" spans="2:20" ht="14.45" customHeight="1" x14ac:dyDescent="0.2">
      <c r="B88" s="82"/>
      <c r="C88" s="46"/>
      <c r="D88" s="134"/>
      <c r="E88" s="148" t="s">
        <v>114</v>
      </c>
      <c r="F88" s="149">
        <f>numBinsNeeded+BinNumStorageBins</f>
        <v>4</v>
      </c>
      <c r="G88" s="150"/>
      <c r="I88" s="46"/>
      <c r="J88" s="46"/>
      <c r="K88" s="46"/>
      <c r="L88" s="70"/>
      <c r="N88" s="69" t="s">
        <v>55</v>
      </c>
      <c r="O88" s="151" t="e">
        <f>"Bin system volume is "&amp;ROUND(Q85*-100,0)&amp;"% too small to meet anticpated mortaility rate"</f>
        <v>#DIV/0!</v>
      </c>
      <c r="P88" s="46"/>
      <c r="Q88" s="46"/>
      <c r="R88" s="46"/>
      <c r="S88" s="46"/>
      <c r="T88" s="70"/>
    </row>
    <row r="89" spans="2:20" ht="14.45" customHeight="1" x14ac:dyDescent="0.2">
      <c r="B89" s="82"/>
      <c r="C89" s="143"/>
      <c r="D89" s="134"/>
      <c r="E89" s="90" t="s">
        <v>194</v>
      </c>
      <c r="F89" s="152">
        <f>binsConstructionVolume*ROUND(binsTotalBinsNeeded,0)</f>
        <v>720</v>
      </c>
      <c r="G89" s="134" t="s">
        <v>17</v>
      </c>
      <c r="H89" s="153"/>
      <c r="I89" s="46"/>
      <c r="J89" s="46"/>
      <c r="K89" s="46"/>
      <c r="L89" s="70"/>
      <c r="N89" s="69" t="s">
        <v>54</v>
      </c>
      <c r="O89" s="154" t="s">
        <v>202</v>
      </c>
      <c r="P89" s="46"/>
      <c r="Q89" s="46"/>
      <c r="R89" s="46"/>
      <c r="S89" s="46"/>
      <c r="T89" s="70"/>
    </row>
    <row r="90" spans="2:20" ht="14.25" x14ac:dyDescent="0.2">
      <c r="B90" s="98"/>
      <c r="C90" s="75"/>
      <c r="D90" s="155"/>
      <c r="E90" s="156" t="s">
        <v>133</v>
      </c>
      <c r="F90" s="157">
        <f>binsTotalVolume/BinHeight</f>
        <v>144</v>
      </c>
      <c r="G90" s="155" t="s">
        <v>20</v>
      </c>
      <c r="H90" s="158"/>
      <c r="I90" s="75"/>
      <c r="J90" s="75"/>
      <c r="K90" s="75"/>
      <c r="L90" s="76"/>
      <c r="N90" s="74" t="s">
        <v>56</v>
      </c>
      <c r="O90" s="75" t="e">
        <f>"Bin system volume is "&amp;ROUND(Q85*100,0)&amp;"% larger than needed to meet anticpated mortaility rate"</f>
        <v>#DIV/0!</v>
      </c>
      <c r="P90" s="75"/>
      <c r="Q90" s="75"/>
      <c r="R90" s="75"/>
      <c r="S90" s="75"/>
      <c r="T90" s="76"/>
    </row>
    <row r="91" spans="2:20" ht="14.1" customHeight="1" x14ac:dyDescent="0.2"/>
    <row r="92" spans="2:20" ht="15.75" x14ac:dyDescent="0.25">
      <c r="B92" s="159" t="s">
        <v>130</v>
      </c>
    </row>
    <row r="93" spans="2:20" x14ac:dyDescent="0.2">
      <c r="B93" s="116"/>
      <c r="C93" s="129" t="s">
        <v>67</v>
      </c>
      <c r="D93" s="160"/>
      <c r="E93" s="161"/>
      <c r="F93" s="160"/>
      <c r="G93" s="160"/>
      <c r="H93" s="161"/>
      <c r="I93" s="79"/>
      <c r="J93" s="162"/>
      <c r="K93" s="79"/>
      <c r="L93" s="81"/>
      <c r="P93" s="45" t="s">
        <v>121</v>
      </c>
      <c r="Q93" s="133">
        <f>windrowFormationTime*MortalityPerDay*DaysPerMonth</f>
        <v>0</v>
      </c>
    </row>
    <row r="94" spans="2:20" ht="14.25" x14ac:dyDescent="0.2">
      <c r="B94" s="82"/>
      <c r="C94" s="46"/>
      <c r="D94" s="46"/>
      <c r="E94" s="45" t="s">
        <v>108</v>
      </c>
      <c r="F94" s="35">
        <v>2</v>
      </c>
      <c r="G94" s="46" t="s">
        <v>15</v>
      </c>
      <c r="H94" s="163" t="str">
        <f>"Total farm mortality = "&amp;TEXT(ROUND(Q93,0),"#,###")&amp;" lb per "&amp;F94&amp;" months"</f>
        <v>Total farm mortality =  lb per 2 months</v>
      </c>
      <c r="I94" s="46"/>
      <c r="J94" s="46"/>
      <c r="K94" s="46"/>
      <c r="L94" s="70"/>
      <c r="P94" s="45" t="s">
        <v>122</v>
      </c>
      <c r="Q94" s="133">
        <f>totalMortality/TargetTissueDensity</f>
        <v>0</v>
      </c>
      <c r="R94" s="58" t="s">
        <v>17</v>
      </c>
      <c r="T94" s="46"/>
    </row>
    <row r="95" spans="2:20" ht="14.25" x14ac:dyDescent="0.2">
      <c r="B95" s="82"/>
      <c r="C95" s="46"/>
      <c r="D95" s="46"/>
      <c r="E95" s="45" t="s">
        <v>45</v>
      </c>
      <c r="F95" s="22">
        <v>18</v>
      </c>
      <c r="G95" s="46" t="s">
        <v>22</v>
      </c>
      <c r="H95" s="46" t="str">
        <f>"Volume needed to fill windrow in desired time = "&amp;TEXT(ROUND(Q94,0),"#,###")&amp;" cubic ft"</f>
        <v>Volume needed to fill windrow in desired time =  cubic ft</v>
      </c>
      <c r="I95" s="46"/>
      <c r="J95" s="46"/>
      <c r="K95" s="46"/>
      <c r="L95" s="70"/>
      <c r="P95" s="45" t="s">
        <v>82</v>
      </c>
      <c r="Q95" s="133">
        <f>0.67*windrowWidth*compostHeight*windrowLength</f>
        <v>1302.48</v>
      </c>
      <c r="R95" s="58" t="s">
        <v>17</v>
      </c>
      <c r="S95" s="46"/>
      <c r="T95" s="164"/>
    </row>
    <row r="96" spans="2:20" x14ac:dyDescent="0.2">
      <c r="B96" s="82"/>
      <c r="C96" s="46"/>
      <c r="D96" s="46"/>
      <c r="E96" s="45" t="s">
        <v>46</v>
      </c>
      <c r="F96" s="22">
        <v>18</v>
      </c>
      <c r="G96" s="46" t="s">
        <v>22</v>
      </c>
      <c r="H96" s="46" t="str">
        <f>"Effective volume of windrow = "&amp;TEXT(ROUND(Q95,0),"#,###")&amp;" cubic ft"</f>
        <v>Effective volume of windrow = 1,302 cubic ft</v>
      </c>
      <c r="I96" s="46"/>
      <c r="J96" s="46"/>
      <c r="K96" s="46"/>
      <c r="L96" s="70"/>
      <c r="P96" s="90" t="s">
        <v>192</v>
      </c>
      <c r="Q96" s="139">
        <f>((windrowsVolumeNeeded/windrowEffectiveVolume)+compostingDuration)/windrowFormationTime</f>
        <v>2</v>
      </c>
      <c r="T96" s="164"/>
    </row>
    <row r="97" spans="2:30" x14ac:dyDescent="0.2">
      <c r="B97" s="82"/>
      <c r="C97" s="46"/>
      <c r="D97" s="46"/>
      <c r="E97" s="45" t="s">
        <v>44</v>
      </c>
      <c r="F97" s="22">
        <v>6</v>
      </c>
      <c r="G97" s="46" t="s">
        <v>22</v>
      </c>
      <c r="H97" s="46"/>
      <c r="I97" s="46"/>
      <c r="J97" s="46"/>
      <c r="K97" s="46"/>
      <c r="L97" s="70"/>
      <c r="P97" s="165" t="s">
        <v>123</v>
      </c>
      <c r="Q97" s="140">
        <f>IF(calcedNumWindrows&gt;=3, calcedNumWindrows, 3)</f>
        <v>3</v>
      </c>
      <c r="T97" s="164"/>
    </row>
    <row r="98" spans="2:30" x14ac:dyDescent="0.2">
      <c r="B98" s="82"/>
      <c r="C98" s="46"/>
      <c r="D98" s="46"/>
      <c r="E98" s="45" t="s">
        <v>110</v>
      </c>
      <c r="F98" s="34">
        <v>4</v>
      </c>
      <c r="G98" s="136" t="s">
        <v>15</v>
      </c>
      <c r="H98" s="46"/>
      <c r="I98" s="46"/>
      <c r="J98" s="46"/>
      <c r="K98" s="46"/>
      <c r="L98" s="70"/>
      <c r="P98" s="166" t="s">
        <v>124</v>
      </c>
      <c r="Q98" s="142" t="e">
        <f>(windrowEffectiveVolume-windrowsVolumeNeeded)/windrowsVolumeNeeded</f>
        <v>#DIV/0!</v>
      </c>
      <c r="T98" s="164"/>
    </row>
    <row r="99" spans="2:30" x14ac:dyDescent="0.2">
      <c r="B99" s="82"/>
      <c r="C99" s="46"/>
      <c r="D99" s="46"/>
      <c r="E99" s="45" t="s">
        <v>138</v>
      </c>
      <c r="F99" s="34">
        <v>10</v>
      </c>
      <c r="G99" s="46" t="s">
        <v>22</v>
      </c>
      <c r="H99" s="46"/>
      <c r="I99" s="46"/>
      <c r="J99" s="46"/>
      <c r="K99" s="46"/>
      <c r="L99" s="70"/>
      <c r="T99" s="164"/>
    </row>
    <row r="100" spans="2:30" x14ac:dyDescent="0.2">
      <c r="B100" s="82"/>
      <c r="C100" s="46"/>
      <c r="D100" s="46"/>
      <c r="E100" s="120"/>
      <c r="F100" s="46"/>
      <c r="G100" s="45"/>
      <c r="H100" s="46"/>
      <c r="I100" s="46"/>
      <c r="J100" s="46"/>
      <c r="K100" s="46"/>
      <c r="L100" s="70"/>
    </row>
    <row r="101" spans="2:30" x14ac:dyDescent="0.2">
      <c r="B101" s="82"/>
      <c r="C101" s="71" t="s">
        <v>21</v>
      </c>
      <c r="D101" s="46"/>
      <c r="E101" s="119"/>
      <c r="F101" s="46"/>
      <c r="G101" s="46"/>
      <c r="H101" s="71" t="s">
        <v>49</v>
      </c>
      <c r="I101" s="46"/>
      <c r="J101" s="46"/>
      <c r="K101" s="46"/>
      <c r="L101" s="70"/>
    </row>
    <row r="102" spans="2:30" ht="14.25" customHeight="1" x14ac:dyDescent="0.2">
      <c r="B102" s="82"/>
      <c r="C102" s="46"/>
      <c r="D102" s="46"/>
      <c r="E102" s="90" t="s">
        <v>193</v>
      </c>
      <c r="F102" s="167">
        <f>ROUND(calcedNumWindrowsMin3+0.49,0)</f>
        <v>3</v>
      </c>
      <c r="G102" s="46"/>
      <c r="H102" s="46" t="str">
        <f>IF(Q94&lt;=0,"", IF(Q95&lt;Q94,O103,IF(AND(Q98&gt;=0,Q98&lt;=0.1),O104,O105)))</f>
        <v/>
      </c>
      <c r="I102" s="46"/>
      <c r="J102" s="46"/>
      <c r="K102" s="46"/>
      <c r="L102" s="70"/>
      <c r="N102" s="144" t="s">
        <v>53</v>
      </c>
      <c r="O102" s="145"/>
      <c r="P102" s="146" t="s">
        <v>57</v>
      </c>
      <c r="Q102" s="145"/>
      <c r="R102" s="145"/>
      <c r="S102" s="145"/>
      <c r="T102" s="147"/>
      <c r="AD102" s="110"/>
    </row>
    <row r="103" spans="2:30" ht="15" x14ac:dyDescent="0.25">
      <c r="B103" s="82"/>
      <c r="C103" s="46"/>
      <c r="D103" s="46"/>
      <c r="E103" s="45" t="s">
        <v>137</v>
      </c>
      <c r="F103" s="168">
        <f>((windrowApronWidth*(numWindrowsNeeded+1))*(windrowLength+(2*windrowApronWidth)))+((windrowWidth*windrowApronWidth)*(numWindrowsNeeded*2))</f>
        <v>2600</v>
      </c>
      <c r="G103" s="58" t="s">
        <v>20</v>
      </c>
      <c r="H103" s="143"/>
      <c r="I103" s="169"/>
      <c r="J103" s="46"/>
      <c r="K103" s="46"/>
      <c r="L103" s="70"/>
      <c r="N103" s="69" t="s">
        <v>55</v>
      </c>
      <c r="O103" s="46" t="e">
        <f>"Total windrow volume is "&amp;ROUND(Q98*-100,0)&amp;"% too small to meet anticpated mortaility rate"</f>
        <v>#DIV/0!</v>
      </c>
      <c r="P103" s="46"/>
      <c r="Q103" s="46"/>
      <c r="R103" s="46"/>
      <c r="S103" s="46"/>
      <c r="T103" s="70"/>
    </row>
    <row r="104" spans="2:30" ht="14.25" x14ac:dyDescent="0.2">
      <c r="B104" s="82"/>
      <c r="C104" s="46"/>
      <c r="D104" s="46"/>
      <c r="E104" s="148" t="s">
        <v>117</v>
      </c>
      <c r="F104" s="168">
        <f>windrowEffectiveVolume*numWindrowsNeeded</f>
        <v>3907.44</v>
      </c>
      <c r="G104" s="58" t="s">
        <v>17</v>
      </c>
      <c r="H104" s="143"/>
      <c r="I104" s="46"/>
      <c r="J104" s="46"/>
      <c r="K104" s="46"/>
      <c r="L104" s="70"/>
      <c r="N104" s="69" t="s">
        <v>54</v>
      </c>
      <c r="O104" s="154" t="s">
        <v>203</v>
      </c>
      <c r="P104" s="46"/>
      <c r="Q104" s="46"/>
      <c r="R104" s="46"/>
      <c r="S104" s="46"/>
      <c r="T104" s="70"/>
    </row>
    <row r="105" spans="2:30" ht="14.25" x14ac:dyDescent="0.2">
      <c r="B105" s="98"/>
      <c r="C105" s="75"/>
      <c r="D105" s="75"/>
      <c r="E105" s="100" t="s">
        <v>118</v>
      </c>
      <c r="F105" s="170">
        <f>(numWindrowsNeeded*windrowLength*windrowWidth) + windrowsApronArea</f>
        <v>3572</v>
      </c>
      <c r="G105" s="102" t="s">
        <v>20</v>
      </c>
      <c r="H105" s="75"/>
      <c r="I105" s="75"/>
      <c r="J105" s="75"/>
      <c r="K105" s="75"/>
      <c r="L105" s="76"/>
      <c r="N105" s="74" t="s">
        <v>56</v>
      </c>
      <c r="O105" s="75" t="e">
        <f>"Total windrow volume is "&amp;ROUND(Q98*100,0)&amp;"% larger than needed to meet anticpated mortaility rate"</f>
        <v>#DIV/0!</v>
      </c>
      <c r="P105" s="75"/>
      <c r="Q105" s="75"/>
      <c r="R105" s="75"/>
      <c r="S105" s="75"/>
      <c r="T105" s="76"/>
    </row>
    <row r="106" spans="2:30" ht="14.1" customHeight="1" x14ac:dyDescent="0.2"/>
    <row r="107" spans="2:30" ht="15.75" x14ac:dyDescent="0.25">
      <c r="B107" s="159" t="s">
        <v>131</v>
      </c>
    </row>
    <row r="108" spans="2:30" ht="14.25" customHeight="1" x14ac:dyDescent="0.2">
      <c r="B108" s="116"/>
      <c r="C108" s="129" t="s">
        <v>67</v>
      </c>
      <c r="D108" s="171"/>
      <c r="E108" s="79"/>
      <c r="F108" s="79"/>
      <c r="G108" s="79"/>
      <c r="H108" s="79"/>
      <c r="I108" s="79"/>
      <c r="J108" s="79"/>
      <c r="K108" s="79"/>
      <c r="L108" s="81"/>
      <c r="O108" s="89"/>
      <c r="P108" s="45" t="s">
        <v>83</v>
      </c>
      <c r="Q108" s="133">
        <f>PilesFillTime*MortalityPerDay*DaysPerMonth</f>
        <v>0</v>
      </c>
    </row>
    <row r="109" spans="2:30" ht="14.25" x14ac:dyDescent="0.2">
      <c r="B109" s="82"/>
      <c r="C109" s="46"/>
      <c r="D109" s="136"/>
      <c r="E109" s="45" t="s">
        <v>107</v>
      </c>
      <c r="F109" s="22">
        <v>1</v>
      </c>
      <c r="G109" s="46" t="s">
        <v>15</v>
      </c>
      <c r="H109" s="46" t="str">
        <f>"Total farm mortality = "&amp;TEXT(ROUND(Q108,0),"#,###")&amp;" lb per "&amp;F109&amp;" month"&amp;IF(F109=1,"","s")</f>
        <v>Total farm mortality =  lb per 1 month</v>
      </c>
      <c r="I109" s="46"/>
      <c r="J109" s="46"/>
      <c r="K109" s="46"/>
      <c r="L109" s="70"/>
      <c r="O109" s="89"/>
      <c r="P109" s="45" t="s">
        <v>81</v>
      </c>
      <c r="Q109" s="133">
        <f>pileTotalMortalityPerMonth/TargetTissueDensity</f>
        <v>0</v>
      </c>
      <c r="R109" s="134" t="s">
        <v>17</v>
      </c>
      <c r="T109" s="172"/>
    </row>
    <row r="110" spans="2:30" ht="14.25" x14ac:dyDescent="0.2">
      <c r="B110" s="82"/>
      <c r="C110" s="46"/>
      <c r="D110" s="136"/>
      <c r="E110" s="45" t="s">
        <v>51</v>
      </c>
      <c r="F110" s="22">
        <v>12</v>
      </c>
      <c r="G110" s="46" t="s">
        <v>22</v>
      </c>
      <c r="H110" s="46" t="str">
        <f>"Volume needed to construct a pile in desired time = "&amp;TEXT(ROUND(Q109,0),"#,###")&amp;" cubic ft"</f>
        <v>Volume needed to construct a pile in desired time =  cubic ft</v>
      </c>
      <c r="I110" s="46"/>
      <c r="J110" s="46"/>
      <c r="K110" s="46"/>
      <c r="L110" s="70"/>
      <c r="P110" s="45" t="s">
        <v>80</v>
      </c>
      <c r="Q110" s="133">
        <f>pileWidth*pileHeight * (0.67*pileLength - TAN(RADIANS(30))*pileHeight)</f>
        <v>492.65248989355132</v>
      </c>
      <c r="R110" s="134" t="s">
        <v>17</v>
      </c>
    </row>
    <row r="111" spans="2:30" x14ac:dyDescent="0.2">
      <c r="B111" s="82"/>
      <c r="C111" s="46"/>
      <c r="D111" s="136"/>
      <c r="E111" s="45" t="s">
        <v>65</v>
      </c>
      <c r="F111" s="22">
        <v>18</v>
      </c>
      <c r="G111" s="46" t="s">
        <v>22</v>
      </c>
      <c r="H111" s="46" t="str">
        <f>"Effective volume of a pile = "&amp;TEXT(ROUND(Q110,0),"#,###")&amp;" cubic ft"</f>
        <v>Effective volume of a pile = 493 cubic ft</v>
      </c>
      <c r="I111" s="46"/>
      <c r="J111" s="46"/>
      <c r="K111" s="46"/>
      <c r="L111" s="70"/>
      <c r="P111" s="166" t="s">
        <v>125</v>
      </c>
      <c r="Q111" s="173">
        <f>(((pileTotalMortalityPerMonth/TargetTissueDensity)/pileEffectiveVolume)+pileCompostingDuration)/PilesFillTime</f>
        <v>2</v>
      </c>
    </row>
    <row r="112" spans="2:30" x14ac:dyDescent="0.2">
      <c r="B112" s="82"/>
      <c r="C112" s="46"/>
      <c r="D112" s="136"/>
      <c r="E112" s="45" t="s">
        <v>44</v>
      </c>
      <c r="F112" s="22">
        <v>8</v>
      </c>
      <c r="G112" s="46" t="s">
        <v>22</v>
      </c>
      <c r="H112" s="46"/>
      <c r="I112" s="46"/>
      <c r="J112" s="46"/>
      <c r="K112" s="46"/>
      <c r="L112" s="70"/>
      <c r="P112" s="166" t="s">
        <v>126</v>
      </c>
      <c r="Q112" s="140">
        <f>IF(calcedNumPiles&gt;=3, calcedNumPiles, 3)</f>
        <v>3</v>
      </c>
    </row>
    <row r="113" spans="1:24" x14ac:dyDescent="0.2">
      <c r="B113" s="82"/>
      <c r="C113" s="46"/>
      <c r="D113" s="136"/>
      <c r="E113" s="45" t="s">
        <v>109</v>
      </c>
      <c r="F113" s="22">
        <v>2</v>
      </c>
      <c r="G113" s="136" t="s">
        <v>15</v>
      </c>
      <c r="H113" s="46"/>
      <c r="I113" s="46"/>
      <c r="J113" s="46"/>
      <c r="K113" s="46"/>
      <c r="L113" s="70"/>
      <c r="P113" s="166" t="s">
        <v>127</v>
      </c>
      <c r="Q113" s="142" t="e">
        <f>(pileEffectiveVolume-pileConstructionVolume)/pileConstructionVolume</f>
        <v>#DIV/0!</v>
      </c>
    </row>
    <row r="114" spans="1:24" x14ac:dyDescent="0.2">
      <c r="B114" s="82"/>
      <c r="C114" s="136"/>
      <c r="D114" s="136"/>
      <c r="E114" s="45" t="s">
        <v>138</v>
      </c>
      <c r="F114" s="34">
        <v>10</v>
      </c>
      <c r="G114" s="46" t="s">
        <v>22</v>
      </c>
      <c r="H114" s="46"/>
      <c r="I114" s="46"/>
      <c r="J114" s="46"/>
      <c r="K114" s="46"/>
      <c r="L114" s="70"/>
    </row>
    <row r="115" spans="1:24" x14ac:dyDescent="0.2">
      <c r="B115" s="82"/>
      <c r="C115" s="46"/>
      <c r="D115" s="89"/>
      <c r="E115" s="46"/>
      <c r="F115" s="174"/>
      <c r="G115" s="46"/>
      <c r="H115" s="46"/>
      <c r="I115" s="46"/>
      <c r="J115" s="46"/>
      <c r="K115" s="46"/>
      <c r="L115" s="70"/>
    </row>
    <row r="116" spans="1:24" x14ac:dyDescent="0.2">
      <c r="B116" s="82"/>
      <c r="C116" s="175" t="s">
        <v>21</v>
      </c>
      <c r="D116" s="89"/>
      <c r="E116" s="136"/>
      <c r="F116" s="174"/>
      <c r="G116" s="46"/>
      <c r="H116" s="71" t="s">
        <v>49</v>
      </c>
      <c r="I116" s="46"/>
      <c r="J116" s="46"/>
      <c r="K116" s="46"/>
      <c r="L116" s="70"/>
    </row>
    <row r="117" spans="1:24" x14ac:dyDescent="0.2">
      <c r="B117" s="82"/>
      <c r="C117" s="46"/>
      <c r="D117" s="134"/>
      <c r="E117" s="148" t="s">
        <v>119</v>
      </c>
      <c r="F117" s="149">
        <f>ROUND(calcedNumPilesMin3+0.49,0)</f>
        <v>3</v>
      </c>
      <c r="G117" s="143"/>
      <c r="H117" s="46" t="str">
        <f>IF(Q109&lt;=0,"", IF(Q110&lt;Q109,O118,IF(AND(Q113&gt;=0,Q113&lt;=0.1),O119,O120)))</f>
        <v/>
      </c>
      <c r="I117" s="46"/>
      <c r="J117" s="46"/>
      <c r="K117" s="46"/>
      <c r="L117" s="70"/>
      <c r="N117" s="144" t="s">
        <v>53</v>
      </c>
      <c r="O117" s="145"/>
      <c r="P117" s="146" t="s">
        <v>57</v>
      </c>
      <c r="Q117" s="145"/>
      <c r="R117" s="145"/>
      <c r="S117" s="145"/>
      <c r="T117" s="147"/>
    </row>
    <row r="118" spans="1:24" ht="14.25" x14ac:dyDescent="0.2">
      <c r="B118" s="82"/>
      <c r="C118" s="46"/>
      <c r="D118" s="89"/>
      <c r="E118" s="45" t="s">
        <v>136</v>
      </c>
      <c r="F118" s="168">
        <f>(2*(pileApronWidth) *((numPilesNeeded*pileLength)+(pileApronWidth*2))) + (2*(pileApronWidth*pileWidth))</f>
        <v>1480</v>
      </c>
      <c r="G118" s="58" t="s">
        <v>20</v>
      </c>
      <c r="H118" s="143"/>
      <c r="I118" s="46"/>
      <c r="J118" s="46"/>
      <c r="K118" s="46"/>
      <c r="L118" s="70"/>
      <c r="N118" s="69" t="s">
        <v>55</v>
      </c>
      <c r="O118" s="46" t="e">
        <f>"Volume of piles is "&amp;ROUND(Q113*-100,0)&amp;"% too small to meet anticpated mortaility rate"</f>
        <v>#DIV/0!</v>
      </c>
      <c r="P118" s="46"/>
      <c r="Q118" s="46"/>
      <c r="R118" s="46"/>
      <c r="S118" s="46"/>
      <c r="T118" s="70"/>
    </row>
    <row r="119" spans="1:24" ht="14.25" x14ac:dyDescent="0.2">
      <c r="B119" s="82"/>
      <c r="C119" s="46"/>
      <c r="D119" s="89"/>
      <c r="E119" s="148" t="s">
        <v>134</v>
      </c>
      <c r="F119" s="168">
        <f>pileEffectiveVolume*numPilesNeeded</f>
        <v>1477.957469680654</v>
      </c>
      <c r="G119" s="134" t="s">
        <v>17</v>
      </c>
      <c r="H119" s="153"/>
      <c r="I119" s="46"/>
      <c r="J119" s="46"/>
      <c r="K119" s="46"/>
      <c r="L119" s="70"/>
      <c r="N119" s="69" t="s">
        <v>54</v>
      </c>
      <c r="O119" s="154" t="s">
        <v>188</v>
      </c>
      <c r="P119" s="46"/>
      <c r="Q119" s="46"/>
      <c r="R119" s="46"/>
      <c r="S119" s="46"/>
      <c r="T119" s="70"/>
    </row>
    <row r="120" spans="1:24" ht="14.25" x14ac:dyDescent="0.2">
      <c r="B120" s="98"/>
      <c r="C120" s="75"/>
      <c r="D120" s="99"/>
      <c r="E120" s="100" t="s">
        <v>120</v>
      </c>
      <c r="F120" s="170">
        <f>(numPilesNeeded*(pileLength*pileWidth))+pilesApronArea</f>
        <v>2128</v>
      </c>
      <c r="G120" s="155" t="s">
        <v>20</v>
      </c>
      <c r="H120" s="75"/>
      <c r="I120" s="75"/>
      <c r="J120" s="75"/>
      <c r="K120" s="75"/>
      <c r="L120" s="76"/>
      <c r="N120" s="74" t="s">
        <v>56</v>
      </c>
      <c r="O120" s="75" t="e">
        <f>"Volume of piles is "&amp;ROUND(Q113*100,0)&amp;"% larger than needed to meet anticpated mortaility rate"</f>
        <v>#DIV/0!</v>
      </c>
      <c r="P120" s="75"/>
      <c r="Q120" s="75"/>
      <c r="R120" s="75"/>
      <c r="S120" s="75"/>
      <c r="T120" s="76"/>
    </row>
    <row r="121" spans="1:24" ht="14.1" customHeight="1" x14ac:dyDescent="0.2"/>
    <row r="122" spans="1:24" s="46" customFormat="1" ht="15.75" x14ac:dyDescent="0.25">
      <c r="B122" s="176" t="s">
        <v>132</v>
      </c>
      <c r="V122" s="38"/>
    </row>
    <row r="123" spans="1:24" x14ac:dyDescent="0.2">
      <c r="A123" s="46"/>
      <c r="B123" s="116"/>
      <c r="C123" s="129" t="s">
        <v>67</v>
      </c>
      <c r="D123" s="79"/>
      <c r="E123" s="79"/>
      <c r="F123" s="79"/>
      <c r="G123" s="79"/>
      <c r="H123" s="79"/>
      <c r="I123" s="79"/>
      <c r="J123" s="79"/>
      <c r="K123" s="79"/>
      <c r="L123" s="81"/>
      <c r="M123" s="46"/>
      <c r="P123" s="45" t="s">
        <v>83</v>
      </c>
      <c r="Q123" s="177">
        <f>overlapPilesFormTime*MortalityPerDay*DaysPerMonth</f>
        <v>0</v>
      </c>
      <c r="R123" s="46"/>
      <c r="S123" s="46"/>
      <c r="V123" s="46"/>
      <c r="W123" s="46"/>
    </row>
    <row r="124" spans="1:24" ht="14.25" x14ac:dyDescent="0.2">
      <c r="A124" s="46"/>
      <c r="B124" s="82"/>
      <c r="C124" s="89"/>
      <c r="D124" s="46"/>
      <c r="E124" s="45" t="s">
        <v>111</v>
      </c>
      <c r="F124" s="36">
        <v>1</v>
      </c>
      <c r="G124" s="46" t="s">
        <v>15</v>
      </c>
      <c r="H124" s="46" t="str">
        <f>"Total farm mortality = "&amp;ROUND(Q123,0)&amp;" lb per "&amp;F124&amp;" month"&amp;IF(F109=1,"","s")</f>
        <v>Total farm mortality = 0 lb per 1 month</v>
      </c>
      <c r="I124" s="46"/>
      <c r="J124" s="46"/>
      <c r="K124" s="46"/>
      <c r="L124" s="70"/>
      <c r="M124" s="46"/>
      <c r="O124" s="46"/>
      <c r="P124" s="45" t="s">
        <v>79</v>
      </c>
      <c r="Q124" s="177">
        <f>overlapPilesTotalMortality/TargetTissueDensity</f>
        <v>0</v>
      </c>
      <c r="R124" s="134" t="s">
        <v>17</v>
      </c>
      <c r="S124" s="46"/>
      <c r="T124" s="46"/>
      <c r="U124" s="46"/>
      <c r="V124" s="46"/>
      <c r="W124" s="46"/>
      <c r="X124" s="46"/>
    </row>
    <row r="125" spans="1:24" ht="14.25" x14ac:dyDescent="0.2">
      <c r="A125" s="46"/>
      <c r="B125" s="82"/>
      <c r="C125" s="46"/>
      <c r="D125" s="89"/>
      <c r="E125" s="90" t="s">
        <v>199</v>
      </c>
      <c r="F125" s="36">
        <v>20</v>
      </c>
      <c r="G125" s="46" t="s">
        <v>22</v>
      </c>
      <c r="H125" s="46" t="str">
        <f>"Volume needed to construct pile in desired time = "&amp;ROUND(Q124,0)&amp;" cubic ft"</f>
        <v>Volume needed to construct pile in desired time = 0 cubic ft</v>
      </c>
      <c r="I125" s="120"/>
      <c r="J125" s="46"/>
      <c r="K125" s="46"/>
      <c r="L125" s="70"/>
      <c r="M125" s="46"/>
      <c r="P125" s="45" t="s">
        <v>78</v>
      </c>
      <c r="Q125" s="177">
        <f>overlapPilesWidth * overlapPilesHeight * ( 0.67*overlapPilesLength - TAN(RADIANS(30) ) * 0.5*overlapPilesHeight)</f>
        <v>1774.4958277186397</v>
      </c>
      <c r="R125" s="134" t="s">
        <v>17</v>
      </c>
      <c r="S125" s="46"/>
      <c r="T125" s="46"/>
      <c r="U125" s="46"/>
      <c r="V125" s="46"/>
      <c r="W125" s="46"/>
      <c r="X125" s="46"/>
    </row>
    <row r="126" spans="1:24" x14ac:dyDescent="0.2">
      <c r="A126" s="46"/>
      <c r="B126" s="82"/>
      <c r="C126" s="46"/>
      <c r="D126" s="89"/>
      <c r="E126" s="90" t="s">
        <v>200</v>
      </c>
      <c r="F126" s="36">
        <v>20</v>
      </c>
      <c r="G126" s="46" t="s">
        <v>22</v>
      </c>
      <c r="H126" s="46" t="str">
        <f>"Effective volume of pile = "&amp;ROUND(Q125,0)&amp;" cubic ft"</f>
        <v>Effective volume of pile = 1774 cubic ft</v>
      </c>
      <c r="I126" s="46"/>
      <c r="J126" s="46"/>
      <c r="K126" s="46"/>
      <c r="L126" s="70"/>
      <c r="P126" s="166" t="s">
        <v>128</v>
      </c>
      <c r="Q126" s="178">
        <f>(overlapPilesTotalMortality/TargetTissueDensity/overlapPilesEffectiveVolume + overlapPilesCompostTime)/overlapPilesFormTime</f>
        <v>2</v>
      </c>
      <c r="S126" s="46"/>
      <c r="T126" s="179"/>
      <c r="U126" s="46"/>
      <c r="V126" s="46"/>
      <c r="W126" s="46"/>
      <c r="X126" s="46"/>
    </row>
    <row r="127" spans="1:24" x14ac:dyDescent="0.2">
      <c r="A127" s="46"/>
      <c r="B127" s="82"/>
      <c r="C127" s="46"/>
      <c r="D127" s="89"/>
      <c r="E127" s="45" t="s">
        <v>44</v>
      </c>
      <c r="F127" s="36">
        <v>8</v>
      </c>
      <c r="G127" s="46" t="s">
        <v>22</v>
      </c>
      <c r="H127" s="120"/>
      <c r="I127" s="120"/>
      <c r="J127" s="46"/>
      <c r="K127" s="46"/>
      <c r="L127" s="70"/>
      <c r="P127" s="166" t="s">
        <v>126</v>
      </c>
      <c r="Q127" s="140">
        <f>IF(calcedNumOverlapPiles&gt;=3, calcedNumOverlapPiles, 3)</f>
        <v>3</v>
      </c>
      <c r="S127" s="46"/>
      <c r="T127" s="179"/>
      <c r="U127" s="46"/>
      <c r="V127" s="46"/>
      <c r="W127" s="46"/>
      <c r="X127" s="46"/>
    </row>
    <row r="128" spans="1:24" x14ac:dyDescent="0.2">
      <c r="A128" s="46"/>
      <c r="B128" s="82"/>
      <c r="C128" s="89"/>
      <c r="D128" s="46"/>
      <c r="E128" s="45" t="s">
        <v>116</v>
      </c>
      <c r="F128" s="36">
        <v>2</v>
      </c>
      <c r="G128" s="136" t="s">
        <v>15</v>
      </c>
      <c r="H128" s="46"/>
      <c r="I128" s="46"/>
      <c r="J128" s="46"/>
      <c r="K128" s="46"/>
      <c r="L128" s="70"/>
      <c r="P128" s="166" t="s">
        <v>127</v>
      </c>
      <c r="Q128" s="142" t="e">
        <f>(overlapPilesEffectiveVolume-overlapPilesVolumeNeeded)/overlapPilesVolumeNeeded</f>
        <v>#DIV/0!</v>
      </c>
      <c r="S128" s="46"/>
      <c r="T128" s="179"/>
      <c r="U128" s="46"/>
      <c r="V128" s="46"/>
      <c r="W128" s="46"/>
      <c r="X128" s="46"/>
    </row>
    <row r="129" spans="1:27" x14ac:dyDescent="0.2">
      <c r="A129" s="46"/>
      <c r="B129" s="82"/>
      <c r="C129" s="89"/>
      <c r="D129" s="46"/>
      <c r="E129" s="45" t="s">
        <v>138</v>
      </c>
      <c r="F129" s="37">
        <v>10</v>
      </c>
      <c r="G129" s="46" t="s">
        <v>22</v>
      </c>
      <c r="H129" s="46"/>
      <c r="I129" s="120"/>
      <c r="J129" s="46"/>
      <c r="K129" s="46"/>
      <c r="L129" s="70"/>
      <c r="S129" s="46"/>
      <c r="T129" s="180"/>
      <c r="U129" s="46"/>
      <c r="V129" s="46"/>
      <c r="W129" s="46"/>
      <c r="X129" s="46"/>
    </row>
    <row r="130" spans="1:27" x14ac:dyDescent="0.2">
      <c r="A130" s="46"/>
      <c r="B130" s="82"/>
      <c r="C130" s="89"/>
      <c r="D130" s="46"/>
      <c r="E130" s="46"/>
      <c r="F130" s="46"/>
      <c r="G130" s="46"/>
      <c r="H130" s="46"/>
      <c r="I130" s="120"/>
      <c r="J130" s="46"/>
      <c r="K130" s="46"/>
      <c r="L130" s="70"/>
      <c r="Q130" s="41"/>
      <c r="S130" s="46"/>
      <c r="T130" s="46"/>
      <c r="U130" s="46"/>
      <c r="V130" s="46"/>
      <c r="W130" s="46"/>
      <c r="X130" s="46"/>
      <c r="Y130" s="46"/>
      <c r="Z130" s="46"/>
      <c r="AA130" s="46"/>
    </row>
    <row r="131" spans="1:27" x14ac:dyDescent="0.2">
      <c r="A131" s="46"/>
      <c r="B131" s="82"/>
      <c r="C131" s="175" t="s">
        <v>21</v>
      </c>
      <c r="D131" s="89"/>
      <c r="E131" s="46"/>
      <c r="F131" s="46"/>
      <c r="G131" s="46"/>
      <c r="H131" s="71" t="s">
        <v>49</v>
      </c>
      <c r="I131" s="120"/>
      <c r="J131" s="46"/>
      <c r="K131" s="46"/>
      <c r="L131" s="70"/>
      <c r="V131" s="46"/>
      <c r="W131" s="46"/>
      <c r="X131" s="46"/>
      <c r="Y131" s="46"/>
      <c r="Z131" s="46"/>
      <c r="AA131" s="46"/>
    </row>
    <row r="132" spans="1:27" ht="14.25" x14ac:dyDescent="0.2">
      <c r="A132" s="46"/>
      <c r="B132" s="82"/>
      <c r="C132" s="181"/>
      <c r="D132" s="134"/>
      <c r="E132" s="148" t="s">
        <v>119</v>
      </c>
      <c r="F132" s="182">
        <f>ROUND(calcedNumOverlapPilesMin3+0.49,0)</f>
        <v>3</v>
      </c>
      <c r="G132" s="46"/>
      <c r="H132" s="46" t="str">
        <f>IF(Q124&lt;=0,"", IF(Q125&lt;Q124,O133,IF(AND(Q128&gt;=0,Q128&lt;=0.1),O134,O135)))</f>
        <v/>
      </c>
      <c r="I132" s="120"/>
      <c r="J132" s="46"/>
      <c r="K132" s="46"/>
      <c r="L132" s="70"/>
      <c r="N132" s="144" t="s">
        <v>53</v>
      </c>
      <c r="O132" s="145"/>
      <c r="P132" s="146" t="s">
        <v>57</v>
      </c>
      <c r="Q132" s="145"/>
      <c r="R132" s="145"/>
      <c r="S132" s="145"/>
      <c r="T132" s="147"/>
      <c r="V132" s="205" t="s">
        <v>207</v>
      </c>
      <c r="W132" s="206"/>
      <c r="X132" s="206"/>
      <c r="Y132" s="206"/>
      <c r="Z132" s="206"/>
      <c r="AA132" s="207"/>
    </row>
    <row r="133" spans="1:27" ht="14.25" customHeight="1" x14ac:dyDescent="0.2">
      <c r="A133" s="46"/>
      <c r="B133" s="82"/>
      <c r="C133" s="89"/>
      <c r="D133" s="46"/>
      <c r="E133" s="45" t="s">
        <v>136</v>
      </c>
      <c r="F133" s="183">
        <f>2*overlapPilesWidth*numOverlapPilesNeeded*overlapPilesApronWidth</f>
        <v>1200</v>
      </c>
      <c r="G133" s="134" t="s">
        <v>20</v>
      </c>
      <c r="I133" s="184"/>
      <c r="J133" s="184"/>
      <c r="K133" s="184"/>
      <c r="L133" s="185"/>
      <c r="N133" s="69" t="s">
        <v>55</v>
      </c>
      <c r="O133" s="154" t="e">
        <f>"System volume is "&amp;ROUND(Q128*-100,0)&amp;"% is too small to meet anticpated mortaility rate"</f>
        <v>#DIV/0!</v>
      </c>
      <c r="P133" s="46"/>
      <c r="Q133" s="46"/>
      <c r="R133" s="46"/>
      <c r="S133" s="46"/>
      <c r="T133" s="70"/>
      <c r="V133" s="199" t="str">
        <f>"System uses a 3 pile minimum.  Your volume only needs "&amp;ROUND(calcedNumOverlapPiles,1)&amp;" overlapping pile(s)."</f>
        <v>System uses a 3 pile minimum.  Your volume only needs 2 overlapping pile(s).</v>
      </c>
      <c r="W133" s="200"/>
      <c r="X133" s="200"/>
      <c r="Y133" s="200"/>
      <c r="Z133" s="200"/>
      <c r="AA133" s="201"/>
    </row>
    <row r="134" spans="1:27" ht="14.25" customHeight="1" x14ac:dyDescent="0.2">
      <c r="A134" s="46"/>
      <c r="B134" s="82"/>
      <c r="C134" s="46"/>
      <c r="D134" s="46"/>
      <c r="E134" s="148" t="s">
        <v>134</v>
      </c>
      <c r="F134" s="183">
        <f>overlapPilesEffectiveVolume*numOverlapPilesNeeded</f>
        <v>5323.4874831559191</v>
      </c>
      <c r="G134" s="134" t="s">
        <v>17</v>
      </c>
      <c r="H134" s="208" t="str">
        <f>IF(calcedNumOverlapPiles&lt;3,V133,"")</f>
        <v>System uses a 3 pile minimum.  Your volume only needs 2 overlapping pile(s).</v>
      </c>
      <c r="I134" s="208"/>
      <c r="J134" s="208"/>
      <c r="K134" s="208"/>
      <c r="L134" s="209"/>
      <c r="N134" s="69" t="s">
        <v>54</v>
      </c>
      <c r="O134" s="154" t="s">
        <v>187</v>
      </c>
      <c r="P134" s="46"/>
      <c r="Q134" s="46"/>
      <c r="R134" s="46"/>
      <c r="S134" s="46"/>
      <c r="T134" s="70"/>
      <c r="V134" s="202"/>
      <c r="W134" s="203"/>
      <c r="X134" s="203"/>
      <c r="Y134" s="203"/>
      <c r="Z134" s="203"/>
      <c r="AA134" s="204"/>
    </row>
    <row r="135" spans="1:27" ht="14.25" x14ac:dyDescent="0.2">
      <c r="A135" s="46"/>
      <c r="B135" s="98"/>
      <c r="C135" s="99"/>
      <c r="D135" s="75"/>
      <c r="E135" s="100" t="s">
        <v>135</v>
      </c>
      <c r="F135" s="186">
        <f>numOverlapPilesNeeded*overlapPilesLength*overlapPilesWidth + overlapPilesApronArea</f>
        <v>2400</v>
      </c>
      <c r="G135" s="155" t="s">
        <v>20</v>
      </c>
      <c r="H135" s="210"/>
      <c r="I135" s="210"/>
      <c r="J135" s="210"/>
      <c r="K135" s="210"/>
      <c r="L135" s="211"/>
      <c r="N135" s="74" t="s">
        <v>56</v>
      </c>
      <c r="O135" s="75" t="e">
        <f>"System volume is "&amp;ROUND(Q128*100,0)&amp;"% larger than needed to meet anticpated mortaility rate"</f>
        <v>#DIV/0!</v>
      </c>
      <c r="P135" s="75"/>
      <c r="Q135" s="75"/>
      <c r="R135" s="75"/>
      <c r="S135" s="75"/>
      <c r="T135" s="76"/>
      <c r="V135" s="46"/>
      <c r="W135" s="46"/>
      <c r="X135" s="46"/>
      <c r="Y135" s="46"/>
      <c r="Z135" s="46"/>
      <c r="AA135" s="46"/>
    </row>
    <row r="136" spans="1:27" x14ac:dyDescent="0.2">
      <c r="A136" s="46"/>
      <c r="B136" s="46"/>
      <c r="C136" s="89"/>
      <c r="D136" s="46"/>
      <c r="E136" s="46"/>
      <c r="S136" s="46"/>
      <c r="T136" s="187"/>
      <c r="U136" s="46"/>
      <c r="V136" s="46"/>
      <c r="W136" s="46"/>
      <c r="X136" s="46"/>
      <c r="Y136" s="46"/>
      <c r="Z136" s="46"/>
      <c r="AA136" s="46"/>
    </row>
    <row r="137" spans="1:27" x14ac:dyDescent="0.2">
      <c r="A137" s="46"/>
      <c r="B137" s="46"/>
      <c r="C137" s="46"/>
      <c r="S137" s="46"/>
      <c r="T137" s="187"/>
      <c r="U137" s="46"/>
      <c r="V137" s="46"/>
      <c r="W137" s="46"/>
      <c r="X137" s="46"/>
    </row>
    <row r="138" spans="1:27" x14ac:dyDescent="0.2">
      <c r="A138" s="46"/>
      <c r="B138" s="46"/>
      <c r="C138" s="46"/>
      <c r="S138" s="46"/>
      <c r="T138" s="187"/>
      <c r="U138" s="136"/>
      <c r="V138" s="46"/>
      <c r="W138" s="46"/>
      <c r="X138" s="46"/>
    </row>
    <row r="139" spans="1:27" x14ac:dyDescent="0.2">
      <c r="A139" s="46"/>
      <c r="B139" s="46"/>
      <c r="C139" s="46"/>
      <c r="I139" s="46"/>
      <c r="S139" s="46"/>
      <c r="T139" s="187"/>
      <c r="U139" s="46"/>
      <c r="V139" s="46"/>
      <c r="W139" s="46"/>
      <c r="X139" s="46"/>
    </row>
    <row r="140" spans="1:27" x14ac:dyDescent="0.2">
      <c r="A140" s="46"/>
      <c r="B140" s="46"/>
      <c r="C140" s="46"/>
      <c r="I140" s="46"/>
      <c r="S140" s="46"/>
      <c r="T140" s="180"/>
      <c r="U140" s="46"/>
      <c r="V140" s="46"/>
      <c r="W140" s="46"/>
      <c r="X140" s="46"/>
    </row>
    <row r="141" spans="1:27" x14ac:dyDescent="0.2">
      <c r="A141" s="46"/>
      <c r="B141" s="46"/>
      <c r="C141" s="46"/>
      <c r="D141" s="188"/>
      <c r="E141" s="46"/>
      <c r="F141" s="46"/>
      <c r="G141" s="46"/>
      <c r="H141" s="46"/>
      <c r="I141" s="46"/>
    </row>
    <row r="142" spans="1:27" x14ac:dyDescent="0.2">
      <c r="A142" s="46"/>
      <c r="B142" s="46"/>
      <c r="C142" s="46"/>
      <c r="D142" s="46"/>
      <c r="E142" s="46"/>
      <c r="F142" s="46"/>
      <c r="G142" s="46"/>
      <c r="H142" s="46"/>
      <c r="I142" s="46"/>
    </row>
    <row r="143" spans="1:27" x14ac:dyDescent="0.2">
      <c r="A143" s="46"/>
      <c r="B143" s="46"/>
      <c r="C143" s="46"/>
      <c r="D143" s="46"/>
      <c r="E143" s="46"/>
      <c r="F143" s="46"/>
      <c r="G143" s="46"/>
      <c r="H143" s="46"/>
      <c r="I143" s="46"/>
      <c r="J143" s="46"/>
      <c r="K143" s="46"/>
      <c r="L143" s="46"/>
      <c r="M143" s="46"/>
    </row>
    <row r="144" spans="1:27" x14ac:dyDescent="0.2">
      <c r="A144" s="46"/>
      <c r="B144" s="46"/>
      <c r="C144" s="46"/>
      <c r="D144" s="46"/>
      <c r="E144" s="46"/>
      <c r="F144" s="46"/>
      <c r="G144" s="46"/>
      <c r="H144" s="46"/>
      <c r="I144" s="46"/>
      <c r="J144" s="46"/>
      <c r="K144" s="46"/>
      <c r="L144" s="46"/>
      <c r="M144" s="46"/>
    </row>
    <row r="145" spans="1:3" x14ac:dyDescent="0.2">
      <c r="A145" s="46"/>
      <c r="B145" s="46"/>
      <c r="C145" s="46"/>
    </row>
    <row r="146" spans="1:3" x14ac:dyDescent="0.2">
      <c r="A146" s="46"/>
      <c r="B146" s="46"/>
      <c r="C146" s="46"/>
    </row>
    <row r="147" spans="1:3" x14ac:dyDescent="0.2">
      <c r="A147" s="46"/>
      <c r="B147" s="46"/>
      <c r="C147" s="46"/>
    </row>
    <row r="148" spans="1:3" x14ac:dyDescent="0.2">
      <c r="A148" s="46"/>
      <c r="B148" s="46"/>
      <c r="C148" s="46"/>
    </row>
    <row r="149" spans="1:3" x14ac:dyDescent="0.2">
      <c r="A149" s="46"/>
      <c r="B149" s="46"/>
      <c r="C149" s="46"/>
    </row>
    <row r="150" spans="1:3" x14ac:dyDescent="0.2">
      <c r="A150" s="46"/>
      <c r="B150" s="46"/>
      <c r="C150" s="46"/>
    </row>
    <row r="151" spans="1:3" x14ac:dyDescent="0.2">
      <c r="A151" s="46"/>
      <c r="B151" s="46"/>
      <c r="C151" s="46"/>
    </row>
    <row r="152" spans="1:3" x14ac:dyDescent="0.2">
      <c r="A152" s="46"/>
      <c r="B152" s="46"/>
      <c r="C152" s="46"/>
    </row>
    <row r="153" spans="1:3" x14ac:dyDescent="0.2">
      <c r="A153" s="46"/>
      <c r="B153" s="46"/>
      <c r="C153" s="46"/>
    </row>
    <row r="154" spans="1:3" x14ac:dyDescent="0.2">
      <c r="A154" s="46"/>
      <c r="B154" s="46"/>
      <c r="C154" s="46"/>
    </row>
    <row r="155" spans="1:3" x14ac:dyDescent="0.2">
      <c r="A155" s="46"/>
      <c r="B155" s="46"/>
      <c r="C155" s="46"/>
    </row>
    <row r="156" spans="1:3" x14ac:dyDescent="0.2">
      <c r="A156" s="46"/>
      <c r="B156" s="46"/>
      <c r="C156" s="46"/>
    </row>
    <row r="157" spans="1:3" x14ac:dyDescent="0.2">
      <c r="A157" s="46"/>
      <c r="B157" s="46"/>
      <c r="C157" s="46"/>
    </row>
    <row r="158" spans="1:3" x14ac:dyDescent="0.2">
      <c r="A158" s="46"/>
      <c r="B158" s="46"/>
      <c r="C158" s="46"/>
    </row>
    <row r="159" spans="1:3" x14ac:dyDescent="0.2">
      <c r="A159" s="46"/>
      <c r="B159" s="46"/>
      <c r="C159" s="46"/>
    </row>
    <row r="194" spans="5:8" x14ac:dyDescent="0.2">
      <c r="E194" s="41"/>
      <c r="F194" s="41"/>
      <c r="G194" s="41"/>
      <c r="H194" s="41"/>
    </row>
    <row r="195" spans="5:8" x14ac:dyDescent="0.2">
      <c r="E195" s="41"/>
      <c r="F195" s="41"/>
      <c r="G195" s="41"/>
      <c r="H195" s="41"/>
    </row>
    <row r="196" spans="5:8" x14ac:dyDescent="0.2">
      <c r="E196" s="41"/>
      <c r="F196" s="41"/>
      <c r="G196" s="41"/>
      <c r="H196" s="41"/>
    </row>
    <row r="197" spans="5:8" x14ac:dyDescent="0.2">
      <c r="E197" s="41"/>
      <c r="F197" s="41"/>
      <c r="G197" s="41"/>
      <c r="H197" s="41"/>
    </row>
    <row r="198" spans="5:8" x14ac:dyDescent="0.2">
      <c r="E198" s="41"/>
      <c r="F198" s="41"/>
      <c r="G198" s="41"/>
      <c r="H198" s="41"/>
    </row>
    <row r="199" spans="5:8" x14ac:dyDescent="0.2">
      <c r="E199" s="41"/>
      <c r="F199" s="41"/>
      <c r="G199" s="41"/>
      <c r="H199" s="41"/>
    </row>
    <row r="200" spans="5:8" x14ac:dyDescent="0.2">
      <c r="E200" s="41"/>
      <c r="F200" s="41"/>
      <c r="G200" s="41"/>
      <c r="H200" s="41"/>
    </row>
    <row r="201" spans="5:8" x14ac:dyDescent="0.2">
      <c r="E201" s="41"/>
      <c r="F201" s="41"/>
      <c r="G201" s="41"/>
      <c r="H201" s="41"/>
    </row>
    <row r="202" spans="5:8" x14ac:dyDescent="0.2">
      <c r="E202" s="41"/>
      <c r="F202" s="41"/>
      <c r="G202" s="41"/>
      <c r="H202" s="41"/>
    </row>
    <row r="203" spans="5:8" x14ac:dyDescent="0.2">
      <c r="E203" s="41"/>
      <c r="F203" s="41"/>
      <c r="G203" s="41"/>
      <c r="H203" s="41"/>
    </row>
    <row r="204" spans="5:8" x14ac:dyDescent="0.2">
      <c r="E204" s="41"/>
      <c r="F204" s="41"/>
      <c r="G204" s="41"/>
      <c r="H204" s="41"/>
    </row>
    <row r="205" spans="5:8" x14ac:dyDescent="0.2">
      <c r="E205" s="41"/>
      <c r="F205" s="41"/>
      <c r="G205" s="41"/>
      <c r="H205" s="41"/>
    </row>
    <row r="206" spans="5:8" x14ac:dyDescent="0.2">
      <c r="E206" s="41"/>
      <c r="F206" s="41"/>
      <c r="G206" s="41"/>
      <c r="H206" s="41"/>
    </row>
    <row r="207" spans="5:8" x14ac:dyDescent="0.2">
      <c r="E207" s="41"/>
      <c r="F207" s="41"/>
      <c r="G207" s="41"/>
      <c r="H207" s="41"/>
    </row>
    <row r="208" spans="5:8" x14ac:dyDescent="0.2">
      <c r="E208" s="41"/>
      <c r="F208" s="41"/>
      <c r="G208" s="41"/>
      <c r="H208" s="41"/>
    </row>
    <row r="209" spans="5:8" x14ac:dyDescent="0.2">
      <c r="E209" s="41"/>
      <c r="F209" s="41"/>
      <c r="G209" s="41"/>
      <c r="H209" s="41"/>
    </row>
    <row r="210" spans="5:8" x14ac:dyDescent="0.2">
      <c r="E210" s="41"/>
      <c r="F210" s="41"/>
      <c r="G210" s="41"/>
      <c r="H210" s="41"/>
    </row>
  </sheetData>
  <sheetProtection algorithmName="SHA-512" hashValue="AxBSt4SryWcCmQJ+le/imKovQD5Y973wuyDlYJ3j6L1JNOeCclO3Rt4rfKc9PWPe83Gvg4pYnymptgqjMAe0ow==" saltValue="NBhyLWzm/T6Vs50xPUyX5w==" spinCount="100000" sheet="1" objects="1" scenarios="1" selectLockedCells="1"/>
  <protectedRanges>
    <protectedRange sqref="F51:H54 F62:G65 F73" name="Range3"/>
    <protectedRange sqref="H3:J5 E11 F16:F17 G18:J18 F19:J21" name="Range1"/>
    <protectedRange sqref="F29:I32 F40:G43" name="Range2"/>
    <protectedRange sqref="F79:F84 F94:F99 F109:F114 F124:F129" name="Range4"/>
  </protectedRanges>
  <mergeCells count="14">
    <mergeCell ref="H3:J3"/>
    <mergeCell ref="H4:J4"/>
    <mergeCell ref="H5:J5"/>
    <mergeCell ref="D4:E4"/>
    <mergeCell ref="D5:E5"/>
    <mergeCell ref="D3:E3"/>
    <mergeCell ref="V133:AA134"/>
    <mergeCell ref="V132:AA132"/>
    <mergeCell ref="H134:L135"/>
    <mergeCell ref="C61:E61"/>
    <mergeCell ref="C28:E28"/>
    <mergeCell ref="D72:E72"/>
    <mergeCell ref="C50:E50"/>
    <mergeCell ref="C39:E39"/>
  </mergeCells>
  <phoneticPr fontId="3" type="noConversion"/>
  <conditionalFormatting sqref="F20">
    <cfRule type="cellIs" dxfId="4" priority="5" stopIfTrue="1" operator="between">
      <formula>0</formula>
      <formula>1</formula>
    </cfRule>
    <cfRule type="cellIs" dxfId="3" priority="6" stopIfTrue="1" operator="notBetween">
      <formula>0</formula>
      <formula>1</formula>
    </cfRule>
  </conditionalFormatting>
  <conditionalFormatting sqref="E11">
    <cfRule type="cellIs" dxfId="2" priority="1" stopIfTrue="1" operator="lessThanOrEqual">
      <formula>10</formula>
    </cfRule>
    <cfRule type="cellIs" dxfId="1" priority="2" operator="between">
      <formula>10</formula>
      <formula>15</formula>
    </cfRule>
    <cfRule type="cellIs" dxfId="0" priority="4" stopIfTrue="1" operator="greaterThan">
      <formula>15</formula>
    </cfRule>
  </conditionalFormatting>
  <pageMargins left="0.5" right="0.5" top="0.5" bottom="0.5" header="0" footer="0"/>
  <pageSetup scale="5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353" r:id="rId4" name="Drop Down 137">
              <controlPr defaultSize="0" autoLine="0" autoPict="0" macro="[0]!ProducerSelected">
                <anchor moveWithCells="1">
                  <from>
                    <xdr:col>4</xdr:col>
                    <xdr:colOff>485775</xdr:colOff>
                    <xdr:row>6</xdr:row>
                    <xdr:rowOff>9525</xdr:rowOff>
                  </from>
                  <to>
                    <xdr:col>5</xdr:col>
                    <xdr:colOff>781050</xdr:colOff>
                    <xdr:row>6</xdr:row>
                    <xdr:rowOff>209550</xdr:rowOff>
                  </to>
                </anchor>
              </controlPr>
            </control>
          </mc:Choice>
        </mc:AlternateContent>
        <mc:AlternateContent xmlns:mc="http://schemas.openxmlformats.org/markup-compatibility/2006">
          <mc:Choice Requires="x14">
            <control shapeId="9354" r:id="rId5" name="Drop Down 138">
              <controlPr defaultSize="0" autoLine="0" autoPict="0" macro="[0]!CompostingSystemSelected">
                <anchor moveWithCells="1">
                  <from>
                    <xdr:col>8</xdr:col>
                    <xdr:colOff>762000</xdr:colOff>
                    <xdr:row>6</xdr:row>
                    <xdr:rowOff>9525</xdr:rowOff>
                  </from>
                  <to>
                    <xdr:col>10</xdr:col>
                    <xdr:colOff>666750</xdr:colOff>
                    <xdr:row>6</xdr:row>
                    <xdr:rowOff>238125</xdr:rowOff>
                  </to>
                </anchor>
              </controlPr>
            </control>
          </mc:Choice>
        </mc:AlternateContent>
        <mc:AlternateContent xmlns:mc="http://schemas.openxmlformats.org/markup-compatibility/2006">
          <mc:Choice Requires="x14">
            <control shapeId="9413" r:id="rId6" name="Drop Down 197">
              <controlPr defaultSize="0" autoLine="0" autoPict="0" macro="[0]!ProducerSelected">
                <anchor moveWithCells="1">
                  <from>
                    <xdr:col>4</xdr:col>
                    <xdr:colOff>476250</xdr:colOff>
                    <xdr:row>7</xdr:row>
                    <xdr:rowOff>28575</xdr:rowOff>
                  </from>
                  <to>
                    <xdr:col>5</xdr:col>
                    <xdr:colOff>771525</xdr:colOff>
                    <xdr:row>7</xdr:row>
                    <xdr:rowOff>228600</xdr:rowOff>
                  </to>
                </anchor>
              </controlPr>
            </control>
          </mc:Choice>
        </mc:AlternateContent>
        <mc:AlternateContent xmlns:mc="http://schemas.openxmlformats.org/markup-compatibility/2006">
          <mc:Choice Requires="x14">
            <control shapeId="9414" r:id="rId7" name="Drop Down 198">
              <controlPr defaultSize="0" autoLine="0" autoPict="0" macro="[0]!ProducerSelected">
                <anchor moveWithCells="1">
                  <from>
                    <xdr:col>4</xdr:col>
                    <xdr:colOff>476250</xdr:colOff>
                    <xdr:row>8</xdr:row>
                    <xdr:rowOff>38100</xdr:rowOff>
                  </from>
                  <to>
                    <xdr:col>5</xdr:col>
                    <xdr:colOff>771525</xdr:colOff>
                    <xdr:row>8</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D35"/>
  <sheetViews>
    <sheetView workbookViewId="0">
      <selection activeCell="B8" sqref="B8"/>
    </sheetView>
  </sheetViews>
  <sheetFormatPr defaultRowHeight="12.75" x14ac:dyDescent="0.2"/>
  <cols>
    <col min="1" max="1" width="15" customWidth="1"/>
    <col min="2" max="3" width="13.42578125" customWidth="1"/>
    <col min="4" max="4" width="10.140625" customWidth="1"/>
  </cols>
  <sheetData>
    <row r="3" spans="2:3" x14ac:dyDescent="0.2">
      <c r="B3" s="2" t="s">
        <v>72</v>
      </c>
    </row>
    <row r="4" spans="2:3" x14ac:dyDescent="0.2">
      <c r="B4" s="4" t="s">
        <v>98</v>
      </c>
    </row>
    <row r="5" spans="2:3" x14ac:dyDescent="0.2">
      <c r="B5" t="s">
        <v>39</v>
      </c>
    </row>
    <row r="6" spans="2:3" x14ac:dyDescent="0.2">
      <c r="B6" t="s">
        <v>40</v>
      </c>
    </row>
    <row r="7" spans="2:3" x14ac:dyDescent="0.2">
      <c r="B7" s="1" t="s">
        <v>197</v>
      </c>
    </row>
    <row r="8" spans="2:3" x14ac:dyDescent="0.2">
      <c r="B8" t="s">
        <v>41</v>
      </c>
    </row>
    <row r="9" spans="2:3" x14ac:dyDescent="0.2">
      <c r="B9" t="s">
        <v>42</v>
      </c>
    </row>
    <row r="10" spans="2:3" x14ac:dyDescent="0.2">
      <c r="B10" s="1" t="s">
        <v>186</v>
      </c>
    </row>
    <row r="12" spans="2:3" x14ac:dyDescent="0.2">
      <c r="B12" s="2" t="s">
        <v>73</v>
      </c>
      <c r="C12" s="3"/>
    </row>
    <row r="13" spans="2:3" x14ac:dyDescent="0.2">
      <c r="B13" t="s">
        <v>74</v>
      </c>
      <c r="C13" s="3"/>
    </row>
    <row r="14" spans="2:3" x14ac:dyDescent="0.2">
      <c r="B14" t="s">
        <v>76</v>
      </c>
      <c r="C14" s="3"/>
    </row>
    <row r="15" spans="2:3" x14ac:dyDescent="0.2">
      <c r="B15" t="s">
        <v>50</v>
      </c>
    </row>
    <row r="16" spans="2:3" x14ac:dyDescent="0.2">
      <c r="B16" t="s">
        <v>77</v>
      </c>
    </row>
    <row r="17" spans="2:4" x14ac:dyDescent="0.2">
      <c r="B17" t="s">
        <v>75</v>
      </c>
    </row>
    <row r="20" spans="2:4" x14ac:dyDescent="0.2">
      <c r="B20" s="2" t="s">
        <v>174</v>
      </c>
    </row>
    <row r="21" spans="2:4" x14ac:dyDescent="0.2">
      <c r="C21" s="3" t="s">
        <v>71</v>
      </c>
      <c r="D21">
        <v>1</v>
      </c>
    </row>
    <row r="22" spans="2:4" x14ac:dyDescent="0.2">
      <c r="C22" s="3" t="s">
        <v>70</v>
      </c>
      <c r="D22">
        <v>2</v>
      </c>
    </row>
    <row r="23" spans="2:4" x14ac:dyDescent="0.2">
      <c r="C23" s="3" t="s">
        <v>100</v>
      </c>
      <c r="D23">
        <v>3</v>
      </c>
    </row>
    <row r="24" spans="2:4" x14ac:dyDescent="0.2">
      <c r="C24" s="3" t="s">
        <v>101</v>
      </c>
      <c r="D24">
        <v>4</v>
      </c>
    </row>
    <row r="27" spans="2:4" x14ac:dyDescent="0.2">
      <c r="B27" s="2" t="s">
        <v>175</v>
      </c>
    </row>
    <row r="28" spans="2:4" x14ac:dyDescent="0.2">
      <c r="C28" s="3" t="s">
        <v>71</v>
      </c>
      <c r="D28">
        <v>1</v>
      </c>
    </row>
    <row r="30" spans="2:4" x14ac:dyDescent="0.2">
      <c r="C30" s="17" t="s">
        <v>181</v>
      </c>
      <c r="D30" s="17" t="s">
        <v>182</v>
      </c>
    </row>
    <row r="31" spans="2:4" x14ac:dyDescent="0.2">
      <c r="C31" s="16" t="s">
        <v>176</v>
      </c>
      <c r="D31" t="b">
        <v>1</v>
      </c>
    </row>
    <row r="32" spans="2:4" x14ac:dyDescent="0.2">
      <c r="C32" s="16" t="s">
        <v>177</v>
      </c>
      <c r="D32" t="b">
        <v>1</v>
      </c>
    </row>
    <row r="33" spans="3:4" x14ac:dyDescent="0.2">
      <c r="C33" s="16" t="s">
        <v>178</v>
      </c>
      <c r="D33" t="b">
        <v>1</v>
      </c>
    </row>
    <row r="34" spans="3:4" x14ac:dyDescent="0.2">
      <c r="C34" s="16" t="s">
        <v>179</v>
      </c>
      <c r="D34" t="b">
        <v>1</v>
      </c>
    </row>
    <row r="35" spans="3:4" x14ac:dyDescent="0.2">
      <c r="C35" s="16" t="s">
        <v>180</v>
      </c>
      <c r="D35" t="b">
        <v>1</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
  <sheetViews>
    <sheetView workbookViewId="0">
      <selection activeCell="G42" sqref="G42"/>
    </sheetView>
  </sheetViews>
  <sheetFormatPr defaultRowHeight="12.75" x14ac:dyDescent="0.2"/>
  <sheetData>
    <row r="3" spans="2:2" x14ac:dyDescent="0.2">
      <c r="B3" s="1" t="s">
        <v>183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092C7702FFB146B64AEA39BB8FD103" ma:contentTypeVersion="10" ma:contentTypeDescription="Create a new document." ma:contentTypeScope="" ma:versionID="472fb4cfeacfcafa199c2a55e9c80481">
  <xsd:schema xmlns:xsd="http://www.w3.org/2001/XMLSchema" xmlns:xs="http://www.w3.org/2001/XMLSchema" xmlns:p="http://schemas.microsoft.com/office/2006/metadata/properties" xmlns:ns2="f6f7bfab-99ce-45dd-950d-7c89813ad518" targetNamespace="http://schemas.microsoft.com/office/2006/metadata/properties" ma:root="true" ma:fieldsID="63177d15892d7faa2c21100131503e46" ns2:_="">
    <xsd:import namespace="f6f7bfab-99ce-45dd-950d-7c89813ad5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f7bfab-99ce-45dd-950d-7c89813ad5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76F04B-782C-46EC-B422-4DCCED0E9F39}"/>
</file>

<file path=customXml/itemProps2.xml><?xml version="1.0" encoding="utf-8"?>
<ds:datastoreItem xmlns:ds="http://schemas.openxmlformats.org/officeDocument/2006/customXml" ds:itemID="{5EB1F45A-9DC3-4D2E-B4C3-C42A17B32FBB}"/>
</file>

<file path=customXml/itemProps3.xml><?xml version="1.0" encoding="utf-8"?>
<ds:datastoreItem xmlns:ds="http://schemas.openxmlformats.org/officeDocument/2006/customXml" ds:itemID="{6D61431B-FE1C-4804-9577-FA6AD4BA14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79</vt:i4>
      </vt:variant>
    </vt:vector>
  </HeadingPairs>
  <TitlesOfParts>
    <vt:vector size="83" baseType="lpstr">
      <vt:lpstr>Instructions</vt:lpstr>
      <vt:lpstr>System Planner</vt:lpstr>
      <vt:lpstr>Hidden</vt:lpstr>
      <vt:lpstr>Documentation</vt:lpstr>
      <vt:lpstr>animalProductionTissuePerDay</vt:lpstr>
      <vt:lpstr>animalTissuePerWk</vt:lpstr>
      <vt:lpstr>binBatchDuration</vt:lpstr>
      <vt:lpstr>BinCompoostingDuration</vt:lpstr>
      <vt:lpstr>binEfffectiveVolume</vt:lpstr>
      <vt:lpstr>BinHeight</vt:lpstr>
      <vt:lpstr>BinLength</vt:lpstr>
      <vt:lpstr>BinNumStorageBins</vt:lpstr>
      <vt:lpstr>binsConstructionVolume</vt:lpstr>
      <vt:lpstr>binsFloorArea</vt:lpstr>
      <vt:lpstr>binsPctOverUnderCapacity</vt:lpstr>
      <vt:lpstr>binsTotalBinsNeeded</vt:lpstr>
      <vt:lpstr>binsTotalMortality</vt:lpstr>
      <vt:lpstr>binsTotalVolume</vt:lpstr>
      <vt:lpstr>binsTotalVolumeNeeded</vt:lpstr>
      <vt:lpstr>BinWidth</vt:lpstr>
      <vt:lpstr>calcedNumBinsMin3</vt:lpstr>
      <vt:lpstr>calcedNumBinsNeeded</vt:lpstr>
      <vt:lpstr>calcedNumOverlapPiles</vt:lpstr>
      <vt:lpstr>calcedNumOverlapPilesMin3</vt:lpstr>
      <vt:lpstr>calcedNumPiles</vt:lpstr>
      <vt:lpstr>calcedNumPilesMin3</vt:lpstr>
      <vt:lpstr>calcedNumWindrows</vt:lpstr>
      <vt:lpstr>calcedNumWindrowsMin3</vt:lpstr>
      <vt:lpstr>compostHeight</vt:lpstr>
      <vt:lpstr>compostingDuration</vt:lpstr>
      <vt:lpstr>CompostingSystem</vt:lpstr>
      <vt:lpstr>DaysPerMonth</vt:lpstr>
      <vt:lpstr>EmergencyCompostingSystem</vt:lpstr>
      <vt:lpstr>MortalityPerDay</vt:lpstr>
      <vt:lpstr>numBinsNeeded</vt:lpstr>
      <vt:lpstr>numOverlapPilesNeeded</vt:lpstr>
      <vt:lpstr>numPilesNeeded</vt:lpstr>
      <vt:lpstr>numWindrowsNeeded</vt:lpstr>
      <vt:lpstr>overlapPilesApronArea</vt:lpstr>
      <vt:lpstr>overlapPilesApronWidth</vt:lpstr>
      <vt:lpstr>overlapPilesCompostTime</vt:lpstr>
      <vt:lpstr>overlapPilesEffectiveVolume</vt:lpstr>
      <vt:lpstr>overlapPilesFormTime</vt:lpstr>
      <vt:lpstr>overlapPilesHeight</vt:lpstr>
      <vt:lpstr>overlapPilesLength</vt:lpstr>
      <vt:lpstr>overlapPilesOverUnderCapacity</vt:lpstr>
      <vt:lpstr>overlapPilesTotalMortality</vt:lpstr>
      <vt:lpstr>overlapPilesVolumeNeeded</vt:lpstr>
      <vt:lpstr>overlapPilesWidth</vt:lpstr>
      <vt:lpstr>pileApronWidth</vt:lpstr>
      <vt:lpstr>pileCompostingDuration</vt:lpstr>
      <vt:lpstr>pileConstructionVolume</vt:lpstr>
      <vt:lpstr>pileEffectiveVolume</vt:lpstr>
      <vt:lpstr>pileHeight</vt:lpstr>
      <vt:lpstr>pileLength</vt:lpstr>
      <vt:lpstr>pilesApronArea</vt:lpstr>
      <vt:lpstr>pilesEffectiveVolume</vt:lpstr>
      <vt:lpstr>PilesFillTime</vt:lpstr>
      <vt:lpstr>pilesOverUnderCapacity</vt:lpstr>
      <vt:lpstr>pilesPadArea</vt:lpstr>
      <vt:lpstr>pileTotalMortalityPerMonth</vt:lpstr>
      <vt:lpstr>pileWidth</vt:lpstr>
      <vt:lpstr>Producer2Type</vt:lpstr>
      <vt:lpstr>Producer3Type</vt:lpstr>
      <vt:lpstr>ProducerType</vt:lpstr>
      <vt:lpstr>SwineRows</vt:lpstr>
      <vt:lpstr>TargetTissueDensity</vt:lpstr>
      <vt:lpstr>totalMortality</vt:lpstr>
      <vt:lpstr>useBovineMortality</vt:lpstr>
      <vt:lpstr>useEquineMortality</vt:lpstr>
      <vt:lpstr>usePoultryMortality</vt:lpstr>
      <vt:lpstr>useSmallRuminantMortality</vt:lpstr>
      <vt:lpstr>UseSwineMortality</vt:lpstr>
      <vt:lpstr>windrowApronWidth</vt:lpstr>
      <vt:lpstr>windrowEffectiveVolume</vt:lpstr>
      <vt:lpstr>windrowFormationTime</vt:lpstr>
      <vt:lpstr>windrowLength</vt:lpstr>
      <vt:lpstr>windrowPctOfCapacity</vt:lpstr>
      <vt:lpstr>windrowsApronArea</vt:lpstr>
      <vt:lpstr>windrowsEffectiveVolume</vt:lpstr>
      <vt:lpstr>windrowsPadArea</vt:lpstr>
      <vt:lpstr>windrowsVolumeNeeded</vt:lpstr>
      <vt:lpstr>windrowWidth</vt:lpstr>
    </vt:vector>
  </TitlesOfParts>
  <Company>Michigan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Rozeboom</dc:creator>
  <cp:lastModifiedBy>Kriegel, Robert</cp:lastModifiedBy>
  <cp:lastPrinted>2013-11-08T19:25:33Z</cp:lastPrinted>
  <dcterms:created xsi:type="dcterms:W3CDTF">2000-12-11T15:06:43Z</dcterms:created>
  <dcterms:modified xsi:type="dcterms:W3CDTF">2019-06-24T15:09:32Z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0x010100C7092C7702FFB146B64AEA39BB8FD103</vt:lpwstr>
  </property>
</Properties>
</file>