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iscan (cheap rhizomes)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<sst xmlns="http://schemas.openxmlformats.org/spreadsheetml/2006/main" count="77" uniqueCount="69">
  <si>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Miscanthus</t>
  </si>
  <si>
    <t>Perennial - Med Input</t>
  </si>
  <si>
    <t>Quantity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</si>
  <si>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</si>
  <si>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</si>
  <si>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</si>
  <si>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</si>
  <si>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</si>
  <si>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</si>
  <si>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</si>
  <si>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</si>
  <si>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</si>
  <si>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</si>
  <si>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</si>
  <si>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</si>
  <si>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</si>
  <si>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</si>
  <si>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</si>
  <si>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</t>
  </si>
  <si>
    <t>Biomass</t>
  </si>
  <si>
    <r>
      <t>Mature yield (est.)</t>
    </r>
    <r>
      <rPr>
        <vertAlign val="superscript"/>
        <sz val="11"/>
        <color indexed="8"/>
        <rFont val="Calibri"/>
        <family val="2"/>
      </rPr>
      <t>1</t>
    </r>
  </si>
  <si>
    <t>ton</t>
  </si>
  <si>
    <t>Revenue Stream</t>
  </si>
  <si>
    <t>SELECT CASH EXPENSES</t>
  </si>
  <si>
    <t>Plant Material</t>
  </si>
  <si>
    <t>Rhizomes</t>
  </si>
  <si>
    <t>rhizome</t>
  </si>
  <si>
    <r>
      <t>Fertilizer</t>
    </r>
    <r>
      <rPr>
        <vertAlign val="superscript"/>
        <sz val="11"/>
        <color indexed="8"/>
        <rFont val="Calibri"/>
        <family val="2"/>
      </rPr>
      <t>2</t>
    </r>
  </si>
  <si>
    <t>Nitrogen</t>
  </si>
  <si>
    <t>lb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</si>
  <si>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</si>
  <si>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lb/ton</t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</si>
  <si>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</si>
  <si>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</si>
  <si>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Pendimethalin</t>
  </si>
  <si>
    <t>3.3 # (gal)</t>
  </si>
  <si>
    <t>2,4-D</t>
  </si>
  <si>
    <t>4 # (gal)</t>
  </si>
  <si>
    <t>Machine Costs</t>
  </si>
  <si>
    <t>Chisel plow</t>
  </si>
  <si>
    <t>acre</t>
  </si>
  <si>
    <t>Soil Finish</t>
  </si>
  <si>
    <t>Potato Planter, 8-row</t>
  </si>
  <si>
    <r>
      <t>acre</t>
    </r>
    <r>
      <rPr>
        <vertAlign val="superscript"/>
        <sz val="11"/>
        <color indexed="8"/>
        <rFont val="Calibri"/>
        <family val="2"/>
      </rPr>
      <t>3</t>
    </r>
  </si>
  <si>
    <t>Sprayer</t>
  </si>
  <si>
    <t>Labor</t>
  </si>
  <si>
    <t>Potato Planter</t>
  </si>
  <si>
    <t>hours</t>
  </si>
  <si>
    <t>Post-harvest</t>
  </si>
  <si>
    <t>Mowing</t>
  </si>
  <si>
    <t>Raking</t>
  </si>
  <si>
    <t>Baling - lg round</t>
  </si>
  <si>
    <t>bale</t>
  </si>
  <si>
    <t>Bale-to-storage</t>
  </si>
  <si>
    <t>Trucking</t>
  </si>
  <si>
    <t>Marketing</t>
  </si>
  <si>
    <t>TOTAL CASH EXPENSES</t>
  </si>
  <si>
    <t>REV ABOVE EXPENSES</t>
  </si>
  <si>
    <t>hours/acre</t>
  </si>
  <si>
    <t>1. Max yield after 3 yrs on fertile land, 4-5 years on marginal land (Misc Growers Guide - Univ of IL)</t>
  </si>
  <si>
    <t>2. Fertilizer rates based on Iowa State recommendations</t>
  </si>
  <si>
    <t>3. Not custom rate</t>
  </si>
  <si>
    <t>Extension Bulletin E-3084, Profitability of Converting to Biofuel Crops</t>
  </si>
  <si>
    <t>Calculation Assumptions:</t>
  </si>
  <si>
    <t>Web: http://bioenergy.msu.edu/economics/index.shtml</t>
  </si>
  <si>
    <t>Interest Rate</t>
  </si>
  <si>
    <t>Years of Production</t>
  </si>
  <si>
    <t>(1+i)^n - 1</t>
  </si>
  <si>
    <t>i(1+i)^n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</si>
</sst>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8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8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45</xdr:row>
      <xdr:rowOff>47625</xdr:rowOff>
    </xdr:from>
    <xdr:to>
      <xdr:col>9</xdr:col>
      <xdr:colOff>381000</xdr:colOff>
      <xdr:row>48</xdr:row>
      <xdr:rowOff>47625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16305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20.140625" style="1" bestFit="1" customWidth="1"/>
    <col min="3" max="3" width="9.140625" style="1" customWidth="1"/>
    <col min="4" max="4" width="9.7109375" style="1" customWidth="1"/>
    <col min="5" max="5" width="10.421875" style="1" bestFit="1" customWidth="1"/>
    <col min="6" max="17" width="9.140625" style="1" customWidth="1"/>
    <col min="18" max="18" width="15.57421875" style="1" customWidth="1"/>
    <col min="19" max="16384" width="9.140625" style="1" customWidth="1"/>
  </cols>
  <sheetData>
    <row r="1" spans="1:15" ht="15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45">
      <c r="A3" s="3"/>
      <c r="B3" s="3"/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5" t="s">
        <v>17</v>
      </c>
    </row>
    <row r="4" spans="1:15" ht="15">
      <c r="A4" s="1" t="s">
        <v>18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7.25">
      <c r="A5" s="1" t="s">
        <v>19</v>
      </c>
      <c r="B5" s="1" t="s">
        <v>20</v>
      </c>
      <c r="C5" s="1">
        <v>10</v>
      </c>
      <c r="D5" s="1" t="s">
        <v>21</v>
      </c>
      <c r="F5" s="6">
        <v>0</v>
      </c>
      <c r="G5" s="6">
        <f>C5*0.5</f>
        <v>5</v>
      </c>
      <c r="H5" s="6">
        <f>$C5</f>
        <v>10</v>
      </c>
      <c r="I5" s="6">
        <f aca="true" t="shared" si="0" ref="I5:O5">$C5</f>
        <v>10</v>
      </c>
      <c r="J5" s="6">
        <f t="shared" si="0"/>
        <v>10</v>
      </c>
      <c r="K5" s="6">
        <f t="shared" si="0"/>
        <v>10</v>
      </c>
      <c r="L5" s="6">
        <f t="shared" si="0"/>
        <v>10</v>
      </c>
      <c r="M5" s="6">
        <f t="shared" si="0"/>
        <v>10</v>
      </c>
      <c r="N5" s="6">
        <f t="shared" si="0"/>
        <v>10</v>
      </c>
      <c r="O5" s="6">
        <f t="shared" si="0"/>
        <v>10</v>
      </c>
      <c r="P5" s="7">
        <f>SUM(F5:O5)</f>
        <v>85</v>
      </c>
      <c r="Q5" s="8"/>
    </row>
    <row r="6" spans="2:18" ht="15">
      <c r="B6" s="1" t="s">
        <v>22</v>
      </c>
      <c r="E6" s="9">
        <v>60</v>
      </c>
      <c r="F6" s="8">
        <f>F$5*$E6</f>
        <v>0</v>
      </c>
      <c r="G6" s="8">
        <f aca="true" t="shared" si="1" ref="G6:O6">G$5*$E6</f>
        <v>300</v>
      </c>
      <c r="H6" s="8">
        <f t="shared" si="1"/>
        <v>600</v>
      </c>
      <c r="I6" s="8">
        <f t="shared" si="1"/>
        <v>600</v>
      </c>
      <c r="J6" s="8">
        <f t="shared" si="1"/>
        <v>600</v>
      </c>
      <c r="K6" s="8">
        <f t="shared" si="1"/>
        <v>600</v>
      </c>
      <c r="L6" s="8">
        <f t="shared" si="1"/>
        <v>600</v>
      </c>
      <c r="M6" s="8">
        <f t="shared" si="1"/>
        <v>600</v>
      </c>
      <c r="N6" s="8">
        <f t="shared" si="1"/>
        <v>600</v>
      </c>
      <c r="O6" s="8">
        <f t="shared" si="1"/>
        <v>600</v>
      </c>
      <c r="P6" s="10">
        <f>SUM(F6:O6)</f>
        <v>5100</v>
      </c>
      <c r="Q6" s="8">
        <f>NPV($C$49,F6:O6)</f>
        <v>3789.5035425449</v>
      </c>
      <c r="R6" s="8">
        <f>Q6/(C$51/C$52)</f>
        <v>490.75804560736975</v>
      </c>
    </row>
    <row r="7" spans="1:18" ht="15">
      <c r="A7" s="3"/>
      <c r="B7" s="3"/>
      <c r="C7" s="3"/>
      <c r="D7" s="3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2"/>
      <c r="R7" s="12"/>
    </row>
    <row r="8" spans="1:18" ht="15">
      <c r="A8" s="1" t="s">
        <v>23</v>
      </c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14"/>
      <c r="Q8" s="8"/>
      <c r="R8" s="8"/>
    </row>
    <row r="9" spans="1:18" ht="15">
      <c r="A9" s="1" t="s">
        <v>24</v>
      </c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8"/>
      <c r="R9" s="8"/>
    </row>
    <row r="10" spans="2:18" ht="15">
      <c r="B10" s="1" t="s">
        <v>25</v>
      </c>
      <c r="C10" s="1">
        <v>4050</v>
      </c>
      <c r="D10" s="1" t="s">
        <v>26</v>
      </c>
      <c r="E10" s="15">
        <v>0.05</v>
      </c>
      <c r="F10" s="8">
        <f>E10*C10</f>
        <v>202.5</v>
      </c>
      <c r="G10" s="8">
        <f>E10*C10*0.125</f>
        <v>25.3125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0">
        <f>SUM(F10:O10)</f>
        <v>227.8125</v>
      </c>
      <c r="Q10" s="8">
        <f>NPV($C$49,F10:O10)</f>
        <v>215.81632653061223</v>
      </c>
      <c r="R10" s="8">
        <f>Q10/(C$51/C$52)</f>
        <v>27.949201637953152</v>
      </c>
    </row>
    <row r="11" spans="1:18" ht="15">
      <c r="A11" s="3"/>
      <c r="B11" s="3"/>
      <c r="C11" s="3"/>
      <c r="D11" s="3"/>
      <c r="E11" s="1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1:18" ht="17.25">
      <c r="A12" s="1" t="s">
        <v>27</v>
      </c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10"/>
      <c r="Q12" s="8"/>
      <c r="R12" s="8"/>
    </row>
    <row r="13" spans="2:18" ht="15">
      <c r="B13" s="1" t="s">
        <v>28</v>
      </c>
      <c r="C13" s="1">
        <v>75</v>
      </c>
      <c r="D13" s="1" t="s">
        <v>29</v>
      </c>
      <c r="E13" s="9">
        <v>0.46</v>
      </c>
      <c r="F13" s="8">
        <f>$E13*$C13*0</f>
        <v>0</v>
      </c>
      <c r="G13" s="8">
        <f>$E13*$C13</f>
        <v>34.5</v>
      </c>
      <c r="H13" s="8">
        <f aca="true" t="shared" si="2" ref="H13:O13">$E13*$C13</f>
        <v>34.5</v>
      </c>
      <c r="I13" s="8">
        <f t="shared" si="2"/>
        <v>34.5</v>
      </c>
      <c r="J13" s="8">
        <f t="shared" si="2"/>
        <v>34.5</v>
      </c>
      <c r="K13" s="8">
        <f t="shared" si="2"/>
        <v>34.5</v>
      </c>
      <c r="L13" s="8">
        <f t="shared" si="2"/>
        <v>34.5</v>
      </c>
      <c r="M13" s="8">
        <f t="shared" si="2"/>
        <v>34.5</v>
      </c>
      <c r="N13" s="8">
        <f t="shared" si="2"/>
        <v>34.5</v>
      </c>
      <c r="O13" s="8">
        <f t="shared" si="2"/>
        <v>34.5</v>
      </c>
      <c r="P13" s="10">
        <f>SUM(F13:O13)</f>
        <v>310.5</v>
      </c>
      <c r="Q13" s="8">
        <f>NPV($C$49,F13:O13)</f>
        <v>233.5427121997331</v>
      </c>
      <c r="R13" s="8">
        <f>Q13/(C$51/C$52)</f>
        <v>30.244849679706416</v>
      </c>
    </row>
    <row r="14" spans="2:18" ht="18">
      <c r="B14" s="1" t="s">
        <v>30</v>
      </c>
      <c r="C14" s="1">
        <v>1.5</v>
      </c>
      <c r="D14" s="1" t="s">
        <v>31</v>
      </c>
      <c r="E14" s="9">
        <v>0.62</v>
      </c>
      <c r="F14" s="8">
        <v>0</v>
      </c>
      <c r="G14" s="8">
        <f>$C14*$E14*G5</f>
        <v>4.6499999999999995</v>
      </c>
      <c r="H14" s="8">
        <f aca="true" t="shared" si="3" ref="H14:O14">$C14*$E14*H5</f>
        <v>9.299999999999999</v>
      </c>
      <c r="I14" s="8">
        <f t="shared" si="3"/>
        <v>9.299999999999999</v>
      </c>
      <c r="J14" s="8">
        <f t="shared" si="3"/>
        <v>9.299999999999999</v>
      </c>
      <c r="K14" s="8">
        <f t="shared" si="3"/>
        <v>9.299999999999999</v>
      </c>
      <c r="L14" s="8">
        <f t="shared" si="3"/>
        <v>9.299999999999999</v>
      </c>
      <c r="M14" s="8">
        <f t="shared" si="3"/>
        <v>9.299999999999999</v>
      </c>
      <c r="N14" s="8">
        <f t="shared" si="3"/>
        <v>9.299999999999999</v>
      </c>
      <c r="O14" s="8">
        <f t="shared" si="3"/>
        <v>9.299999999999999</v>
      </c>
      <c r="P14" s="10">
        <f>SUM(F14:O14)</f>
        <v>79.04999999999998</v>
      </c>
      <c r="Q14" s="8">
        <f>NPV($C$49,F14:O14)</f>
        <v>58.73730490944595</v>
      </c>
      <c r="R14" s="8">
        <f>Q14/(C$51/C$52)</f>
        <v>7.606749706914231</v>
      </c>
    </row>
    <row r="15" spans="2:18" ht="18">
      <c r="B15" s="1" t="s">
        <v>32</v>
      </c>
      <c r="C15" s="1">
        <v>12</v>
      </c>
      <c r="D15" s="1" t="s">
        <v>31</v>
      </c>
      <c r="E15" s="9">
        <v>0.63</v>
      </c>
      <c r="F15" s="8">
        <v>0</v>
      </c>
      <c r="G15" s="8">
        <f>$C15*$E15*G5</f>
        <v>37.800000000000004</v>
      </c>
      <c r="H15" s="8">
        <f aca="true" t="shared" si="4" ref="H15:O15">$C15*$E15*H5</f>
        <v>75.60000000000001</v>
      </c>
      <c r="I15" s="8">
        <f t="shared" si="4"/>
        <v>75.60000000000001</v>
      </c>
      <c r="J15" s="8">
        <f t="shared" si="4"/>
        <v>75.60000000000001</v>
      </c>
      <c r="K15" s="8">
        <f t="shared" si="4"/>
        <v>75.60000000000001</v>
      </c>
      <c r="L15" s="8">
        <f t="shared" si="4"/>
        <v>75.60000000000001</v>
      </c>
      <c r="M15" s="8">
        <f t="shared" si="4"/>
        <v>75.60000000000001</v>
      </c>
      <c r="N15" s="8">
        <f t="shared" si="4"/>
        <v>75.60000000000001</v>
      </c>
      <c r="O15" s="8">
        <f t="shared" si="4"/>
        <v>75.60000000000001</v>
      </c>
      <c r="P15" s="10">
        <f>SUM(F15:O15)</f>
        <v>642.6000000000001</v>
      </c>
      <c r="Q15" s="8">
        <f>NPV($C$49,F15:O15)</f>
        <v>477.4774463606575</v>
      </c>
      <c r="R15" s="8">
        <f>Q15/(C$51/C$52)</f>
        <v>61.8355137465286</v>
      </c>
    </row>
    <row r="16" spans="1:18" ht="15">
      <c r="A16" s="3"/>
      <c r="B16" s="3"/>
      <c r="C16" s="3"/>
      <c r="D16" s="3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2"/>
      <c r="R16" s="12"/>
    </row>
    <row r="17" spans="1:18" ht="15">
      <c r="A17" s="1" t="s">
        <v>33</v>
      </c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8"/>
      <c r="R17" s="8"/>
    </row>
    <row r="18" spans="2:18" ht="15">
      <c r="B18" s="1" t="s">
        <v>34</v>
      </c>
      <c r="C18" s="17">
        <v>0.3363636363636364</v>
      </c>
      <c r="D18" s="1" t="s">
        <v>35</v>
      </c>
      <c r="E18" s="9">
        <v>29.7</v>
      </c>
      <c r="F18" s="8">
        <f>E18*C18</f>
        <v>9.990000000000002</v>
      </c>
      <c r="G18" s="8">
        <f>E18*C18</f>
        <v>9.990000000000002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0">
        <f>SUM(F18:O18)</f>
        <v>19.980000000000004</v>
      </c>
      <c r="Q18" s="8">
        <f>NPV($C$49,F18:O18)</f>
        <v>18.575510204081635</v>
      </c>
      <c r="R18" s="8">
        <f>Q18/(C$51/C$52)</f>
        <v>2.405613553746096</v>
      </c>
    </row>
    <row r="19" spans="2:18" ht="15">
      <c r="B19" s="1" t="s">
        <v>36</v>
      </c>
      <c r="C19" s="17">
        <v>0.46</v>
      </c>
      <c r="D19" s="1" t="s">
        <v>37</v>
      </c>
      <c r="E19" s="9">
        <v>17.2</v>
      </c>
      <c r="F19" s="8">
        <f>E19*C19</f>
        <v>7.912</v>
      </c>
      <c r="G19" s="8">
        <f>E19*C19</f>
        <v>7.912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0">
        <f>SUM(F19:O19)</f>
        <v>15.824</v>
      </c>
      <c r="Q19" s="8">
        <f>NPV($C$49,F19:O19)</f>
        <v>14.711655328798185</v>
      </c>
      <c r="R19" s="8">
        <f>Q19/(C$51/C$52)</f>
        <v>1.905226670394305</v>
      </c>
    </row>
    <row r="20" spans="1:18" ht="15">
      <c r="A20" s="3"/>
      <c r="B20" s="3"/>
      <c r="C20" s="3"/>
      <c r="D20" s="3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1:18" ht="15">
      <c r="A21" s="1" t="s">
        <v>38</v>
      </c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10"/>
      <c r="Q21" s="8"/>
      <c r="R21" s="8"/>
    </row>
    <row r="22" spans="2:18" ht="15">
      <c r="B22" s="1" t="s">
        <v>39</v>
      </c>
      <c r="C22" s="1">
        <v>1</v>
      </c>
      <c r="D22" s="1" t="s">
        <v>40</v>
      </c>
      <c r="E22" s="9">
        <v>14.17</v>
      </c>
      <c r="F22" s="8">
        <f>E22*C22</f>
        <v>14.17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0">
        <f>SUM(F22:O22)</f>
        <v>14.17</v>
      </c>
      <c r="Q22" s="8">
        <f>NPV($C$49,F22:O22)</f>
        <v>13.495238095238095</v>
      </c>
      <c r="R22" s="8">
        <f>Q22/(C$51/C$52)</f>
        <v>1.747695073581449</v>
      </c>
    </row>
    <row r="23" spans="2:18" ht="15">
      <c r="B23" s="1" t="s">
        <v>41</v>
      </c>
      <c r="C23" s="1">
        <v>1</v>
      </c>
      <c r="D23" s="1" t="s">
        <v>40</v>
      </c>
      <c r="E23" s="9">
        <v>11.1</v>
      </c>
      <c r="F23" s="8">
        <f>E23*C23</f>
        <v>11.1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0">
        <f>SUM(F23:O23)</f>
        <v>11.1</v>
      </c>
      <c r="Q23" s="8">
        <f>NPV($C$49,F23:O23)</f>
        <v>10.571428571428571</v>
      </c>
      <c r="R23" s="8">
        <f>Q23/(C$51/C$52)</f>
        <v>1.3690483639205422</v>
      </c>
    </row>
    <row r="24" spans="2:18" ht="17.25">
      <c r="B24" s="1" t="s">
        <v>42</v>
      </c>
      <c r="C24" s="1">
        <v>1</v>
      </c>
      <c r="D24" s="18" t="s">
        <v>43</v>
      </c>
      <c r="E24" s="9">
        <v>30.41</v>
      </c>
      <c r="F24" s="8">
        <f>E24*C24</f>
        <v>30.41</v>
      </c>
      <c r="G24" s="8">
        <f>E24*C24*0.125</f>
        <v>3.80125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0">
        <f>SUM(F24:O24)</f>
        <v>34.21125</v>
      </c>
      <c r="Q24" s="8">
        <f>NPV($C$49,F24:O24)</f>
        <v>32.40975056689342</v>
      </c>
      <c r="R24" s="8">
        <f>Q24/(C$51/C$52)</f>
        <v>4.197210971902002</v>
      </c>
    </row>
    <row r="25" spans="2:18" ht="15">
      <c r="B25" s="1" t="s">
        <v>44</v>
      </c>
      <c r="C25" s="1">
        <v>2</v>
      </c>
      <c r="D25" s="1" t="s">
        <v>40</v>
      </c>
      <c r="E25" s="9">
        <v>5.6</v>
      </c>
      <c r="F25" s="8">
        <f>E25*C25</f>
        <v>11.2</v>
      </c>
      <c r="G25" s="8">
        <f>E25*C25</f>
        <v>11.2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0">
        <f>SUM(F25:O25)</f>
        <v>22.4</v>
      </c>
      <c r="Q25" s="8">
        <f>NPV($C$49,F25:O25)</f>
        <v>20.825396825396826</v>
      </c>
      <c r="R25" s="8">
        <f>Q25/(C$51/C$52)</f>
        <v>2.696984164359987</v>
      </c>
    </row>
    <row r="26" spans="1:18" ht="15">
      <c r="A26" s="3"/>
      <c r="B26" s="3"/>
      <c r="C26" s="3"/>
      <c r="D26" s="3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1:18" ht="15">
      <c r="A27" s="1" t="s">
        <v>45</v>
      </c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8"/>
      <c r="R27" s="8"/>
    </row>
    <row r="28" spans="2:18" ht="15">
      <c r="B28" s="1" t="s">
        <v>46</v>
      </c>
      <c r="C28" s="17">
        <v>0.21052631578947367</v>
      </c>
      <c r="D28" s="1" t="s">
        <v>47</v>
      </c>
      <c r="E28" s="9">
        <v>15.65</v>
      </c>
      <c r="F28" s="8">
        <f>C28*E28</f>
        <v>3.294736842105263</v>
      </c>
      <c r="G28" s="8">
        <f>C28*E28*0.125</f>
        <v>0.4118421052631579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0">
        <f>SUM(F28:O28)</f>
        <v>3.706578947368421</v>
      </c>
      <c r="Q28" s="8">
        <f>NPV($C$49,F28:O28)</f>
        <v>3.5113975414727294</v>
      </c>
      <c r="R28" s="8">
        <f>Q28/(C$51/C$52)</f>
        <v>0.4547420461431754</v>
      </c>
    </row>
    <row r="29" spans="1:18" ht="15">
      <c r="A29" s="3"/>
      <c r="B29" s="3"/>
      <c r="C29" s="3"/>
      <c r="D29" s="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1:18" ht="15">
      <c r="A30" s="1" t="s">
        <v>48</v>
      </c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8"/>
      <c r="R30" s="8"/>
    </row>
    <row r="31" spans="2:18" ht="15">
      <c r="B31" s="1" t="s">
        <v>49</v>
      </c>
      <c r="C31" s="1">
        <v>1</v>
      </c>
      <c r="D31" s="1" t="s">
        <v>40</v>
      </c>
      <c r="E31" s="9">
        <v>13.5</v>
      </c>
      <c r="F31" s="8">
        <v>0</v>
      </c>
      <c r="G31" s="8">
        <f>$E31*$C31*0.5</f>
        <v>6.75</v>
      </c>
      <c r="H31" s="8">
        <f aca="true" t="shared" si="5" ref="H31:O32">$E31*$C31</f>
        <v>13.5</v>
      </c>
      <c r="I31" s="8">
        <f t="shared" si="5"/>
        <v>13.5</v>
      </c>
      <c r="J31" s="8">
        <f t="shared" si="5"/>
        <v>13.5</v>
      </c>
      <c r="K31" s="8">
        <f t="shared" si="5"/>
        <v>13.5</v>
      </c>
      <c r="L31" s="8">
        <f t="shared" si="5"/>
        <v>13.5</v>
      </c>
      <c r="M31" s="8">
        <f t="shared" si="5"/>
        <v>13.5</v>
      </c>
      <c r="N31" s="8">
        <f t="shared" si="5"/>
        <v>13.5</v>
      </c>
      <c r="O31" s="8">
        <f t="shared" si="5"/>
        <v>13.5</v>
      </c>
      <c r="P31" s="10">
        <f aca="true" t="shared" si="6" ref="P31:P36">SUM(F31:O31)</f>
        <v>114.75</v>
      </c>
      <c r="Q31" s="8">
        <f aca="true" t="shared" si="7" ref="Q31:Q36">NPV($C$49,F31:O31)</f>
        <v>85.26382970726026</v>
      </c>
      <c r="R31" s="8">
        <f aca="true" t="shared" si="8" ref="R31:R36">Q31/(C$51/C$52)</f>
        <v>11.04205602616582</v>
      </c>
    </row>
    <row r="32" spans="2:18" ht="15">
      <c r="B32" s="1" t="s">
        <v>50</v>
      </c>
      <c r="C32" s="1">
        <v>1</v>
      </c>
      <c r="D32" s="1" t="s">
        <v>40</v>
      </c>
      <c r="E32" s="9">
        <v>6</v>
      </c>
      <c r="F32" s="8">
        <v>0</v>
      </c>
      <c r="G32" s="8">
        <f>$E32*$C32*0.5</f>
        <v>3</v>
      </c>
      <c r="H32" s="8">
        <f t="shared" si="5"/>
        <v>6</v>
      </c>
      <c r="I32" s="8">
        <f t="shared" si="5"/>
        <v>6</v>
      </c>
      <c r="J32" s="8">
        <f t="shared" si="5"/>
        <v>6</v>
      </c>
      <c r="K32" s="8">
        <f t="shared" si="5"/>
        <v>6</v>
      </c>
      <c r="L32" s="8">
        <f t="shared" si="5"/>
        <v>6</v>
      </c>
      <c r="M32" s="8">
        <f t="shared" si="5"/>
        <v>6</v>
      </c>
      <c r="N32" s="8">
        <f t="shared" si="5"/>
        <v>6</v>
      </c>
      <c r="O32" s="8">
        <f t="shared" si="5"/>
        <v>6</v>
      </c>
      <c r="P32" s="10">
        <f t="shared" si="6"/>
        <v>51</v>
      </c>
      <c r="Q32" s="8">
        <f t="shared" si="7"/>
        <v>37.895035425449</v>
      </c>
      <c r="R32" s="8">
        <f t="shared" si="8"/>
        <v>4.907580456073697</v>
      </c>
    </row>
    <row r="33" spans="2:18" ht="15">
      <c r="B33" s="1" t="s">
        <v>51</v>
      </c>
      <c r="C33" s="17">
        <v>13.333333333333334</v>
      </c>
      <c r="D33" s="1" t="s">
        <v>52</v>
      </c>
      <c r="E33" s="9">
        <v>8.35</v>
      </c>
      <c r="F33" s="8">
        <v>0</v>
      </c>
      <c r="G33" s="8">
        <f>$E33*G5*2000/1500</f>
        <v>55.666666666666664</v>
      </c>
      <c r="H33" s="8">
        <f aca="true" t="shared" si="9" ref="H33:O33">$E33*H5*2000/1500</f>
        <v>111.33333333333333</v>
      </c>
      <c r="I33" s="8">
        <f t="shared" si="9"/>
        <v>111.33333333333333</v>
      </c>
      <c r="J33" s="8">
        <f t="shared" si="9"/>
        <v>111.33333333333333</v>
      </c>
      <c r="K33" s="8">
        <f t="shared" si="9"/>
        <v>111.33333333333333</v>
      </c>
      <c r="L33" s="8">
        <f t="shared" si="9"/>
        <v>111.33333333333333</v>
      </c>
      <c r="M33" s="8">
        <f t="shared" si="9"/>
        <v>111.33333333333333</v>
      </c>
      <c r="N33" s="8">
        <f t="shared" si="9"/>
        <v>111.33333333333333</v>
      </c>
      <c r="O33" s="8">
        <f t="shared" si="9"/>
        <v>111.33333333333333</v>
      </c>
      <c r="P33" s="10">
        <f t="shared" si="6"/>
        <v>946.3333333333334</v>
      </c>
      <c r="Q33" s="8">
        <f t="shared" si="7"/>
        <v>703.1634351166647</v>
      </c>
      <c r="R33" s="8">
        <f t="shared" si="8"/>
        <v>91.06288179603415</v>
      </c>
    </row>
    <row r="34" spans="2:18" ht="15">
      <c r="B34" s="1" t="s">
        <v>53</v>
      </c>
      <c r="C34" s="17">
        <v>13.333333333333334</v>
      </c>
      <c r="D34" s="1" t="s">
        <v>52</v>
      </c>
      <c r="E34" s="9">
        <v>3.1</v>
      </c>
      <c r="F34" s="8">
        <v>0</v>
      </c>
      <c r="G34" s="8">
        <f>$E34*G$5*2000/1500</f>
        <v>20.666666666666668</v>
      </c>
      <c r="H34" s="8">
        <f aca="true" t="shared" si="10" ref="H34:O34">$E34*H$5*2000/1500</f>
        <v>41.333333333333336</v>
      </c>
      <c r="I34" s="8">
        <f t="shared" si="10"/>
        <v>41.333333333333336</v>
      </c>
      <c r="J34" s="8">
        <f t="shared" si="10"/>
        <v>41.333333333333336</v>
      </c>
      <c r="K34" s="8">
        <f t="shared" si="10"/>
        <v>41.333333333333336</v>
      </c>
      <c r="L34" s="8">
        <f t="shared" si="10"/>
        <v>41.333333333333336</v>
      </c>
      <c r="M34" s="8">
        <f t="shared" si="10"/>
        <v>41.333333333333336</v>
      </c>
      <c r="N34" s="8">
        <f t="shared" si="10"/>
        <v>41.333333333333336</v>
      </c>
      <c r="O34" s="8">
        <f t="shared" si="10"/>
        <v>41.333333333333336</v>
      </c>
      <c r="P34" s="10">
        <f t="shared" si="6"/>
        <v>351.3333333333333</v>
      </c>
      <c r="Q34" s="8">
        <f t="shared" si="7"/>
        <v>261.05468848642647</v>
      </c>
      <c r="R34" s="8">
        <f t="shared" si="8"/>
        <v>33.807776475174364</v>
      </c>
    </row>
    <row r="35" spans="2:18" ht="15">
      <c r="B35" s="1" t="s">
        <v>54</v>
      </c>
      <c r="C35" s="19">
        <v>10</v>
      </c>
      <c r="D35" s="1" t="s">
        <v>21</v>
      </c>
      <c r="E35" s="9">
        <v>3</v>
      </c>
      <c r="F35" s="8">
        <v>0</v>
      </c>
      <c r="G35" s="8">
        <f>$E35*G$5</f>
        <v>15</v>
      </c>
      <c r="H35" s="8">
        <f aca="true" t="shared" si="11" ref="H35:O35">$E35*H$5</f>
        <v>30</v>
      </c>
      <c r="I35" s="8">
        <f t="shared" si="11"/>
        <v>30</v>
      </c>
      <c r="J35" s="8">
        <f t="shared" si="11"/>
        <v>30</v>
      </c>
      <c r="K35" s="8">
        <f t="shared" si="11"/>
        <v>30</v>
      </c>
      <c r="L35" s="8">
        <f t="shared" si="11"/>
        <v>30</v>
      </c>
      <c r="M35" s="8">
        <f t="shared" si="11"/>
        <v>30</v>
      </c>
      <c r="N35" s="8">
        <f t="shared" si="11"/>
        <v>30</v>
      </c>
      <c r="O35" s="8">
        <f t="shared" si="11"/>
        <v>30</v>
      </c>
      <c r="P35" s="10">
        <f t="shared" si="6"/>
        <v>255</v>
      </c>
      <c r="Q35" s="8">
        <f t="shared" si="7"/>
        <v>189.47517712724502</v>
      </c>
      <c r="R35" s="8">
        <f t="shared" si="8"/>
        <v>24.53790228036849</v>
      </c>
    </row>
    <row r="36" spans="2:18" ht="15">
      <c r="B36" s="1" t="s">
        <v>55</v>
      </c>
      <c r="C36" s="17"/>
      <c r="E36" s="20">
        <v>0.035</v>
      </c>
      <c r="F36" s="8">
        <f>$E36*$E6*F5</f>
        <v>0</v>
      </c>
      <c r="G36" s="8">
        <f aca="true" t="shared" si="12" ref="G36:O36">$E36*$E6*G5</f>
        <v>10.5</v>
      </c>
      <c r="H36" s="8">
        <f t="shared" si="12"/>
        <v>21</v>
      </c>
      <c r="I36" s="8">
        <f t="shared" si="12"/>
        <v>21</v>
      </c>
      <c r="J36" s="8">
        <f t="shared" si="12"/>
        <v>21</v>
      </c>
      <c r="K36" s="8">
        <f t="shared" si="12"/>
        <v>21</v>
      </c>
      <c r="L36" s="8">
        <f t="shared" si="12"/>
        <v>21</v>
      </c>
      <c r="M36" s="8">
        <f t="shared" si="12"/>
        <v>21</v>
      </c>
      <c r="N36" s="8">
        <f t="shared" si="12"/>
        <v>21</v>
      </c>
      <c r="O36" s="8">
        <f t="shared" si="12"/>
        <v>21</v>
      </c>
      <c r="P36" s="10">
        <f t="shared" si="6"/>
        <v>178.5</v>
      </c>
      <c r="Q36" s="8">
        <f t="shared" si="7"/>
        <v>132.6326239890715</v>
      </c>
      <c r="R36" s="8">
        <f t="shared" si="8"/>
        <v>17.17653159625794</v>
      </c>
    </row>
    <row r="37" spans="1:18" ht="15">
      <c r="A37" s="3"/>
      <c r="B37" s="3"/>
      <c r="C37" s="21"/>
      <c r="D37" s="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"/>
      <c r="Q37" s="12"/>
      <c r="R37" s="12"/>
    </row>
    <row r="38" spans="1:18" ht="15">
      <c r="A38" s="22" t="s">
        <v>56</v>
      </c>
      <c r="B38" s="22"/>
      <c r="C38" s="22"/>
      <c r="D38" s="22"/>
      <c r="E38" s="23"/>
      <c r="F38" s="24">
        <f>SUM(F10:F37)</f>
        <v>290.5767368421052</v>
      </c>
      <c r="G38" s="24">
        <f aca="true" t="shared" si="13" ref="G38:O38">SUM(G10:G37)</f>
        <v>247.1609254385965</v>
      </c>
      <c r="H38" s="24">
        <f t="shared" si="13"/>
        <v>342.56666666666666</v>
      </c>
      <c r="I38" s="24">
        <f t="shared" si="13"/>
        <v>342.56666666666666</v>
      </c>
      <c r="J38" s="24">
        <f t="shared" si="13"/>
        <v>342.56666666666666</v>
      </c>
      <c r="K38" s="24">
        <f t="shared" si="13"/>
        <v>342.56666666666666</v>
      </c>
      <c r="L38" s="24">
        <f t="shared" si="13"/>
        <v>342.56666666666666</v>
      </c>
      <c r="M38" s="24">
        <f t="shared" si="13"/>
        <v>342.56666666666666</v>
      </c>
      <c r="N38" s="24">
        <f t="shared" si="13"/>
        <v>342.56666666666666</v>
      </c>
      <c r="O38" s="24">
        <f t="shared" si="13"/>
        <v>342.56666666666666</v>
      </c>
      <c r="P38" s="25">
        <f>SUM(F38:O38)</f>
        <v>3278.2709956140347</v>
      </c>
      <c r="Q38" s="24">
        <f>NPV($C$49,F38:O38)</f>
        <v>2509.158956985875</v>
      </c>
      <c r="R38" s="24">
        <f>Q38/(C$51/C$52)</f>
        <v>324.94756424522444</v>
      </c>
    </row>
    <row r="39" spans="1:18" ht="15">
      <c r="A39" s="1" t="s">
        <v>57</v>
      </c>
      <c r="E39" s="26"/>
      <c r="F39" s="8">
        <f>F6-F38</f>
        <v>-290.5767368421052</v>
      </c>
      <c r="G39" s="8">
        <f aca="true" t="shared" si="14" ref="G39:O39">G6-G38</f>
        <v>52.83907456140349</v>
      </c>
      <c r="H39" s="8">
        <f t="shared" si="14"/>
        <v>257.43333333333334</v>
      </c>
      <c r="I39" s="8">
        <f t="shared" si="14"/>
        <v>257.43333333333334</v>
      </c>
      <c r="J39" s="8">
        <f t="shared" si="14"/>
        <v>257.43333333333334</v>
      </c>
      <c r="K39" s="8">
        <f t="shared" si="14"/>
        <v>257.43333333333334</v>
      </c>
      <c r="L39" s="8">
        <f t="shared" si="14"/>
        <v>257.43333333333334</v>
      </c>
      <c r="M39" s="8">
        <f t="shared" si="14"/>
        <v>257.43333333333334</v>
      </c>
      <c r="N39" s="8">
        <f t="shared" si="14"/>
        <v>257.43333333333334</v>
      </c>
      <c r="O39" s="8">
        <f t="shared" si="14"/>
        <v>257.43333333333334</v>
      </c>
      <c r="P39" s="10">
        <f>SUM(F39:O39)</f>
        <v>1821.7290043859653</v>
      </c>
      <c r="Q39" s="8">
        <f>NPV($C$49,F39:O39)</f>
        <v>1280.344585559025</v>
      </c>
      <c r="R39" s="8">
        <f>Q39/(C$51/C$52)</f>
        <v>165.81048136214534</v>
      </c>
    </row>
    <row r="40" spans="5:17" ht="15">
      <c r="E40" s="15"/>
      <c r="F40" s="27"/>
      <c r="G40" s="28"/>
      <c r="H40" s="2"/>
      <c r="I40" s="2"/>
      <c r="J40" s="2"/>
      <c r="K40" s="2"/>
      <c r="L40" s="2"/>
      <c r="M40" s="2"/>
      <c r="N40" s="2"/>
      <c r="O40" s="2"/>
      <c r="Q40" s="8"/>
    </row>
    <row r="41" spans="1:17" ht="15">
      <c r="A41" s="1" t="s">
        <v>45</v>
      </c>
      <c r="D41" s="1" t="s">
        <v>58</v>
      </c>
      <c r="E41" s="15"/>
      <c r="F41" s="29">
        <v>0.6</v>
      </c>
      <c r="G41" s="29">
        <v>0.63</v>
      </c>
      <c r="H41" s="29">
        <v>0.53</v>
      </c>
      <c r="I41" s="29">
        <v>0.53</v>
      </c>
      <c r="J41" s="29">
        <v>0.53</v>
      </c>
      <c r="K41" s="29">
        <v>0.53</v>
      </c>
      <c r="L41" s="29">
        <v>0.53</v>
      </c>
      <c r="M41" s="29">
        <v>0.53</v>
      </c>
      <c r="N41" s="29">
        <v>0.53</v>
      </c>
      <c r="O41" s="29">
        <v>0.53</v>
      </c>
      <c r="Q41" s="8"/>
    </row>
    <row r="42" spans="5:15" ht="15">
      <c r="E42" s="15"/>
      <c r="F42" s="27"/>
      <c r="G42" s="6"/>
      <c r="H42" s="6"/>
      <c r="I42" s="2"/>
      <c r="J42" s="2"/>
      <c r="K42" s="2"/>
      <c r="L42" s="2"/>
      <c r="M42" s="2"/>
      <c r="N42" s="6"/>
      <c r="O42" s="6"/>
    </row>
    <row r="43" spans="5:15" ht="15">
      <c r="E43" s="15"/>
      <c r="F43" s="27"/>
      <c r="G43" s="6"/>
      <c r="H43" s="6"/>
      <c r="I43" s="2"/>
      <c r="J43" s="2"/>
      <c r="K43" s="2"/>
      <c r="L43" s="2"/>
      <c r="M43" s="2"/>
      <c r="N43" s="6"/>
      <c r="O43" s="6"/>
    </row>
    <row r="44" spans="1:15" ht="15">
      <c r="A44" s="1" t="s">
        <v>59</v>
      </c>
      <c r="F44" s="2"/>
      <c r="G44" s="2"/>
      <c r="H44" s="2"/>
      <c r="I44" s="2"/>
      <c r="J44" s="2"/>
      <c r="K44" s="2"/>
      <c r="L44" s="2"/>
      <c r="N44" s="2"/>
      <c r="O44" s="2"/>
    </row>
    <row r="45" spans="1:15" ht="15">
      <c r="A45" s="1" t="s">
        <v>60</v>
      </c>
      <c r="F45" s="2"/>
      <c r="G45" s="2"/>
      <c r="H45" s="2"/>
      <c r="I45" s="2"/>
      <c r="J45" s="2"/>
      <c r="K45" s="2"/>
      <c r="L45" s="2"/>
      <c r="N45" s="2"/>
      <c r="O45" s="2"/>
    </row>
    <row r="46" spans="1:15" ht="15">
      <c r="A46" s="1" t="s">
        <v>61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6:15" ht="15">
      <c r="F47" s="2"/>
      <c r="G47" s="2"/>
      <c r="H47" s="2"/>
      <c r="I47" s="2"/>
      <c r="J47" s="2"/>
      <c r="K47" s="30" t="s">
        <v>62</v>
      </c>
      <c r="L47" s="2"/>
      <c r="M47" s="2"/>
      <c r="N47" s="2"/>
      <c r="O47" s="2"/>
    </row>
    <row r="48" spans="1:15" ht="15">
      <c r="A48" s="1" t="s">
        <v>63</v>
      </c>
      <c r="F48" s="2"/>
      <c r="G48" s="2"/>
      <c r="H48" s="2"/>
      <c r="I48" s="2"/>
      <c r="J48" s="2"/>
      <c r="K48" s="30" t="s">
        <v>64</v>
      </c>
      <c r="L48" s="2"/>
      <c r="M48" s="2"/>
      <c r="N48" s="2"/>
      <c r="O48" s="2"/>
    </row>
    <row r="49" spans="2:15" ht="15">
      <c r="B49" s="1" t="s">
        <v>65</v>
      </c>
      <c r="C49" s="31">
        <v>0.05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5">
      <c r="B50" s="1" t="s">
        <v>66</v>
      </c>
      <c r="C50" s="1">
        <v>10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5">
      <c r="B51" s="1" t="s">
        <v>67</v>
      </c>
      <c r="C51" s="32">
        <f>((1+C49)^C50)-1</f>
        <v>0.6288946267774416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5">
      <c r="B52" s="1" t="s">
        <v>68</v>
      </c>
      <c r="C52" s="33">
        <f>C49*((1+C49)^C50)</f>
        <v>0.08144473133887209</v>
      </c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sheetProtection/>
  <printOptions/>
  <pageMargins left="0.7" right="0.7" top="0.75" bottom="0.75" header="0.3" footer="0.3"/>
  <pageSetup fitToHeight="1" fitToWidth="1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2010-01-05T15:42:23Z</dcterms:created>
  <dcterms:modified xsi:type="dcterms:W3CDTF">2010-01-19T22:57:56Z</dcterms:modified>
  <cp:category/>
  <cp:version/>
  <cp:contentType/>
  <cp:contentStatus/>
</cp:coreProperties>
</file>